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 yWindow="72" windowWidth="15576" windowHeight="11700"/>
  </bookViews>
  <sheets>
    <sheet name="Лист2" sheetId="2" r:id="rId1"/>
  </sheets>
  <definedNames>
    <definedName name="Кабель">#REF!</definedName>
    <definedName name="Монтаж_уставновочной_коробки">#REF!</definedName>
    <definedName name="Монтаж_электрощита">#REF!</definedName>
    <definedName name="прокладка_стального_лотка">#REF!</definedName>
    <definedName name="Сборка_щита">#REF!</definedName>
    <definedName name="Установка_выключателя">#REF!</definedName>
    <definedName name="Установка_и_подключение_светильников">#REF!</definedName>
    <definedName name="Установка_распаечной_коробки">#REF!</definedName>
    <definedName name="Установка_розеток">#REF!</definedName>
  </definedNames>
  <calcPr calcId="145621"/>
</workbook>
</file>

<file path=xl/calcChain.xml><?xml version="1.0" encoding="utf-8"?>
<calcChain xmlns="http://schemas.openxmlformats.org/spreadsheetml/2006/main">
  <c r="AB13" i="2" l="1"/>
  <c r="Y13" i="2"/>
  <c r="Z13" i="2" s="1"/>
  <c r="X13" i="2"/>
  <c r="AC12" i="2"/>
  <c r="AB12" i="2"/>
  <c r="Y12" i="2"/>
  <c r="AA12" i="2" s="1"/>
  <c r="X12" i="2"/>
  <c r="AC11" i="2"/>
  <c r="AB11" i="2"/>
  <c r="AA11" i="2"/>
  <c r="Y11" i="2"/>
  <c r="Z11" i="2" s="1"/>
  <c r="X11" i="2"/>
  <c r="AC10" i="2"/>
  <c r="AB10" i="2"/>
  <c r="Y10" i="2"/>
  <c r="AA10" i="2" s="1"/>
  <c r="X10" i="2"/>
  <c r="AC9" i="2"/>
  <c r="AB9" i="2"/>
  <c r="Y9" i="2"/>
  <c r="Z9" i="2" s="1"/>
  <c r="X9" i="2"/>
  <c r="AC8" i="2"/>
  <c r="AB8" i="2"/>
  <c r="Y8" i="2"/>
  <c r="AA8" i="2" s="1"/>
  <c r="X8" i="2"/>
  <c r="AC7" i="2"/>
  <c r="AB7" i="2"/>
  <c r="Y7" i="2"/>
  <c r="Z7" i="2" s="1"/>
  <c r="X7" i="2"/>
  <c r="AC6" i="2"/>
  <c r="AB6" i="2"/>
  <c r="Y6" i="2"/>
  <c r="AA6" i="2" s="1"/>
  <c r="X6" i="2"/>
  <c r="AC5" i="2"/>
  <c r="AB5" i="2"/>
  <c r="Y5" i="2"/>
  <c r="Y15" i="2" s="1"/>
  <c r="X5" i="2"/>
  <c r="AA5" i="2" l="1"/>
  <c r="AA15" i="2" s="1"/>
  <c r="AA13" i="2"/>
  <c r="AA7" i="2"/>
  <c r="X15" i="2"/>
  <c r="AC15" i="2"/>
  <c r="AA9" i="2"/>
  <c r="Z10" i="2"/>
  <c r="Z12" i="2"/>
  <c r="Z5" i="2"/>
  <c r="Z6" i="2"/>
  <c r="Z8" i="2"/>
  <c r="Z15" i="2" l="1"/>
  <c r="F298" i="2" l="1"/>
  <c r="E461" i="2" l="1"/>
  <c r="I461" i="2"/>
  <c r="K461" i="2" s="1"/>
  <c r="K464" i="2"/>
  <c r="F464" i="2"/>
  <c r="I450" i="2"/>
  <c r="K450" i="2" s="1"/>
  <c r="I447" i="2"/>
  <c r="K447" i="2" s="1"/>
  <c r="I446" i="2"/>
  <c r="K446" i="2" s="1"/>
  <c r="F446" i="2"/>
  <c r="I445" i="2"/>
  <c r="K445" i="2" s="1"/>
  <c r="I444" i="2"/>
  <c r="K444" i="2" s="1"/>
  <c r="F444" i="2"/>
  <c r="I443" i="2"/>
  <c r="K443" i="2" s="1"/>
  <c r="I442" i="2"/>
  <c r="K442" i="2" s="1"/>
  <c r="F442" i="2"/>
  <c r="I441" i="2"/>
  <c r="K441" i="2" s="1"/>
  <c r="I440" i="2"/>
  <c r="K440" i="2" s="1"/>
  <c r="F440" i="2"/>
  <c r="I455" i="2"/>
  <c r="K455" i="2" s="1"/>
  <c r="I454" i="2"/>
  <c r="K454" i="2" s="1"/>
  <c r="F454" i="2"/>
  <c r="I453" i="2"/>
  <c r="K453" i="2" s="1"/>
  <c r="I452" i="2"/>
  <c r="K452" i="2" s="1"/>
  <c r="F452" i="2"/>
  <c r="I449" i="2"/>
  <c r="K449" i="2" s="1"/>
  <c r="I448" i="2"/>
  <c r="K448" i="2" s="1"/>
  <c r="F448" i="2"/>
  <c r="I431" i="2"/>
  <c r="K431" i="2" s="1"/>
  <c r="I430" i="2"/>
  <c r="K430" i="2" s="1"/>
  <c r="F430" i="2"/>
  <c r="I451" i="2"/>
  <c r="K451" i="2" s="1"/>
  <c r="F450" i="2"/>
  <c r="I439" i="2"/>
  <c r="K439" i="2" s="1"/>
  <c r="I438" i="2"/>
  <c r="K438" i="2" s="1"/>
  <c r="F438" i="2"/>
  <c r="I437" i="2"/>
  <c r="K437" i="2" s="1"/>
  <c r="I436" i="2"/>
  <c r="K436" i="2" s="1"/>
  <c r="F436" i="2"/>
  <c r="I435" i="2"/>
  <c r="K435" i="2" s="1"/>
  <c r="I434" i="2"/>
  <c r="K434" i="2" s="1"/>
  <c r="F434" i="2"/>
  <c r="I429" i="2"/>
  <c r="K429" i="2" s="1"/>
  <c r="I428" i="2"/>
  <c r="K428" i="2" s="1"/>
  <c r="F428" i="2"/>
  <c r="I433" i="2"/>
  <c r="K433" i="2" s="1"/>
  <c r="I432" i="2"/>
  <c r="K432" i="2" s="1"/>
  <c r="F432" i="2"/>
  <c r="I427" i="2"/>
  <c r="K427" i="2" s="1"/>
  <c r="I426" i="2"/>
  <c r="K426" i="2" s="1"/>
  <c r="F426" i="2"/>
  <c r="I425" i="2"/>
  <c r="K425" i="2" s="1"/>
  <c r="I424" i="2"/>
  <c r="K424" i="2" s="1"/>
  <c r="F424" i="2"/>
  <c r="I423" i="2"/>
  <c r="K423" i="2" s="1"/>
  <c r="I422" i="2"/>
  <c r="K422" i="2" s="1"/>
  <c r="F422" i="2"/>
  <c r="I421" i="2"/>
  <c r="K421" i="2" s="1"/>
  <c r="I420" i="2"/>
  <c r="K420" i="2" s="1"/>
  <c r="F420" i="2"/>
  <c r="I417" i="2"/>
  <c r="K417" i="2" s="1"/>
  <c r="I416" i="2"/>
  <c r="K416" i="2" s="1"/>
  <c r="F416" i="2"/>
  <c r="I419" i="2"/>
  <c r="K419" i="2" s="1"/>
  <c r="I418" i="2"/>
  <c r="K418" i="2" s="1"/>
  <c r="I414" i="2"/>
  <c r="K414" i="2" s="1"/>
  <c r="I415" i="2"/>
  <c r="K415" i="2" s="1"/>
  <c r="I413" i="2"/>
  <c r="K413" i="2" s="1"/>
  <c r="I412" i="2"/>
  <c r="K412" i="2" s="1"/>
  <c r="I410" i="2"/>
  <c r="K410" i="2" s="1"/>
  <c r="I167" i="2"/>
  <c r="K167" i="2" s="1"/>
  <c r="I166" i="2"/>
  <c r="K166" i="2" s="1"/>
  <c r="I168" i="2"/>
  <c r="K168" i="2" s="1"/>
  <c r="F167" i="2"/>
  <c r="F166" i="2"/>
  <c r="I406" i="2"/>
  <c r="K406" i="2" s="1"/>
  <c r="I407" i="2"/>
  <c r="K407" i="2" s="1"/>
  <c r="K409" i="2"/>
  <c r="I408" i="2"/>
  <c r="K408" i="2" s="1"/>
  <c r="F408" i="2"/>
  <c r="F406" i="2"/>
  <c r="K405" i="2"/>
  <c r="I403" i="2"/>
  <c r="K403" i="2" s="1"/>
  <c r="I402" i="2"/>
  <c r="K402" i="2" s="1"/>
  <c r="F402" i="2"/>
  <c r="I399" i="2"/>
  <c r="K399" i="2" s="1"/>
  <c r="I398" i="2"/>
  <c r="K398" i="2" s="1"/>
  <c r="F398" i="2"/>
  <c r="I401" i="2"/>
  <c r="K401" i="2" s="1"/>
  <c r="I400" i="2"/>
  <c r="K400" i="2" s="1"/>
  <c r="F400" i="2"/>
  <c r="I393" i="2"/>
  <c r="K393" i="2" s="1"/>
  <c r="I392" i="2"/>
  <c r="K392" i="2" s="1"/>
  <c r="F392" i="2"/>
  <c r="I391" i="2"/>
  <c r="K391" i="2" s="1"/>
  <c r="I390" i="2"/>
  <c r="K390" i="2" s="1"/>
  <c r="F390" i="2"/>
  <c r="I385" i="2"/>
  <c r="K385" i="2" s="1"/>
  <c r="I384" i="2"/>
  <c r="K384" i="2" s="1"/>
  <c r="F384" i="2"/>
  <c r="I387" i="2"/>
  <c r="K387" i="2" s="1"/>
  <c r="I386" i="2"/>
  <c r="K386" i="2" s="1"/>
  <c r="F386" i="2"/>
  <c r="I383" i="2"/>
  <c r="K383" i="2" s="1"/>
  <c r="I382" i="2"/>
  <c r="K382" i="2" s="1"/>
  <c r="F382" i="2"/>
  <c r="I381" i="2"/>
  <c r="K381" i="2" s="1"/>
  <c r="I380" i="2"/>
  <c r="K380" i="2" s="1"/>
  <c r="F380" i="2"/>
  <c r="I397" i="2"/>
  <c r="K397" i="2" s="1"/>
  <c r="I396" i="2"/>
  <c r="K396" i="2" s="1"/>
  <c r="F396" i="2"/>
  <c r="I395" i="2"/>
  <c r="K395" i="2" s="1"/>
  <c r="I394" i="2"/>
  <c r="K394" i="2" s="1"/>
  <c r="F394" i="2"/>
  <c r="I389" i="2"/>
  <c r="K389" i="2" s="1"/>
  <c r="I388" i="2"/>
  <c r="K388" i="2" s="1"/>
  <c r="I379" i="2"/>
  <c r="K379" i="2" s="1"/>
  <c r="I378" i="2"/>
  <c r="K378" i="2" s="1"/>
  <c r="I377" i="2"/>
  <c r="K377" i="2" s="1"/>
  <c r="I376" i="2"/>
  <c r="K376" i="2" s="1"/>
  <c r="F418" i="2"/>
  <c r="F414" i="2"/>
  <c r="F412" i="2"/>
  <c r="I411" i="2"/>
  <c r="K411" i="2" s="1"/>
  <c r="F410" i="2"/>
  <c r="I404" i="2"/>
  <c r="K404" i="2" s="1"/>
  <c r="F404" i="2"/>
  <c r="F388" i="2"/>
  <c r="F378" i="2"/>
  <c r="F376" i="2"/>
  <c r="I367" i="2"/>
  <c r="K367" i="2" s="1"/>
  <c r="F367" i="2"/>
  <c r="I365" i="2"/>
  <c r="K365" i="2" s="1"/>
  <c r="I364" i="2"/>
  <c r="K364" i="2" s="1"/>
  <c r="F364" i="2"/>
  <c r="I357" i="2"/>
  <c r="K357" i="2" s="1"/>
  <c r="F357" i="2"/>
  <c r="I358" i="2"/>
  <c r="K358" i="2" s="1"/>
  <c r="F358" i="2"/>
  <c r="I362" i="2"/>
  <c r="K362" i="2" s="1"/>
  <c r="K363" i="2"/>
  <c r="F362" i="2"/>
  <c r="K456" i="2" l="1"/>
  <c r="F456" i="2"/>
  <c r="L464" i="2"/>
  <c r="L432" i="2"/>
  <c r="L446" i="2"/>
  <c r="L430" i="2"/>
  <c r="L428" i="2"/>
  <c r="L438" i="2"/>
  <c r="L424" i="2"/>
  <c r="L454" i="2"/>
  <c r="L448" i="2"/>
  <c r="L416" i="2"/>
  <c r="L450" i="2"/>
  <c r="L452" i="2"/>
  <c r="L444" i="2"/>
  <c r="L442" i="2"/>
  <c r="L440" i="2"/>
  <c r="L436" i="2"/>
  <c r="L434" i="2"/>
  <c r="L420" i="2"/>
  <c r="L414" i="2"/>
  <c r="L396" i="2"/>
  <c r="L426" i="2"/>
  <c r="L422" i="2"/>
  <c r="L404" i="2"/>
  <c r="L367" i="2"/>
  <c r="L167" i="2"/>
  <c r="L410" i="2"/>
  <c r="L357" i="2"/>
  <c r="L384" i="2"/>
  <c r="L418" i="2"/>
  <c r="L390" i="2"/>
  <c r="L398" i="2"/>
  <c r="L166" i="2"/>
  <c r="L408" i="2"/>
  <c r="L406" i="2"/>
  <c r="L394" i="2"/>
  <c r="L392" i="2"/>
  <c r="L380" i="2"/>
  <c r="L402" i="2"/>
  <c r="L400" i="2"/>
  <c r="L386" i="2"/>
  <c r="L382" i="2"/>
  <c r="L388" i="2"/>
  <c r="L378" i="2"/>
  <c r="L376" i="2"/>
  <c r="L412" i="2"/>
  <c r="L358" i="2"/>
  <c r="L364" i="2"/>
  <c r="L362" i="2"/>
  <c r="L457" i="2" l="1"/>
  <c r="I349" i="2"/>
  <c r="K349" i="2" s="1"/>
  <c r="F349" i="2"/>
  <c r="I337" i="2"/>
  <c r="K337" i="2" s="1"/>
  <c r="I336" i="2"/>
  <c r="K336" i="2" s="1"/>
  <c r="F336" i="2"/>
  <c r="I339" i="2"/>
  <c r="K339" i="2" s="1"/>
  <c r="I338" i="2"/>
  <c r="K338" i="2" s="1"/>
  <c r="F338" i="2"/>
  <c r="I351" i="2"/>
  <c r="K351" i="2" s="1"/>
  <c r="F351" i="2"/>
  <c r="I359" i="2"/>
  <c r="K359" i="2" s="1"/>
  <c r="F359" i="2"/>
  <c r="I356" i="2"/>
  <c r="K356" i="2" s="1"/>
  <c r="F356" i="2"/>
  <c r="I330" i="2"/>
  <c r="K330" i="2" s="1"/>
  <c r="I329" i="2"/>
  <c r="K329" i="2" s="1"/>
  <c r="F329" i="2"/>
  <c r="L338" i="2" l="1"/>
  <c r="L351" i="2"/>
  <c r="L336" i="2"/>
  <c r="L349" i="2"/>
  <c r="L329" i="2"/>
  <c r="L359" i="2"/>
  <c r="L356" i="2"/>
  <c r="I370" i="2" l="1"/>
  <c r="I369" i="2"/>
  <c r="I371" i="2"/>
  <c r="I320" i="2"/>
  <c r="K320" i="2" s="1"/>
  <c r="F320" i="2"/>
  <c r="I311" i="2"/>
  <c r="K311" i="2" s="1"/>
  <c r="F311" i="2"/>
  <c r="F297" i="2"/>
  <c r="I297" i="2"/>
  <c r="K297" i="2" s="1"/>
  <c r="I319" i="2"/>
  <c r="K319" i="2" s="1"/>
  <c r="I318" i="2"/>
  <c r="K318" i="2" s="1"/>
  <c r="F318" i="2"/>
  <c r="I317" i="2"/>
  <c r="K317" i="2" s="1"/>
  <c r="I316" i="2"/>
  <c r="K316" i="2" s="1"/>
  <c r="F316" i="2"/>
  <c r="I315" i="2"/>
  <c r="K315" i="2" s="1"/>
  <c r="I314" i="2"/>
  <c r="K314" i="2" s="1"/>
  <c r="I313" i="2"/>
  <c r="K313" i="2" s="1"/>
  <c r="F313" i="2"/>
  <c r="I312" i="2"/>
  <c r="K312" i="2" s="1"/>
  <c r="F312" i="2"/>
  <c r="I310" i="2"/>
  <c r="K310" i="2" s="1"/>
  <c r="I309" i="2"/>
  <c r="K309" i="2" s="1"/>
  <c r="F309" i="2"/>
  <c r="I308" i="2"/>
  <c r="K308" i="2" s="1"/>
  <c r="I307" i="2"/>
  <c r="K307" i="2" s="1"/>
  <c r="F307" i="2"/>
  <c r="I306" i="2"/>
  <c r="K306" i="2" s="1"/>
  <c r="F306" i="2"/>
  <c r="I305" i="2"/>
  <c r="K305" i="2" s="1"/>
  <c r="I304" i="2"/>
  <c r="K304" i="2" s="1"/>
  <c r="F304" i="2"/>
  <c r="I303" i="2"/>
  <c r="K303" i="2" s="1"/>
  <c r="I302" i="2"/>
  <c r="K302" i="2" s="1"/>
  <c r="I301" i="2"/>
  <c r="K301" i="2" s="1"/>
  <c r="F301" i="2"/>
  <c r="I300" i="2"/>
  <c r="K300" i="2" s="1"/>
  <c r="I299" i="2"/>
  <c r="K299" i="2" s="1"/>
  <c r="F299" i="2"/>
  <c r="I298" i="2"/>
  <c r="K298" i="2" s="1"/>
  <c r="I38" i="2"/>
  <c r="I25" i="2"/>
  <c r="I44" i="2"/>
  <c r="I43" i="2"/>
  <c r="I42" i="2"/>
  <c r="I41" i="2"/>
  <c r="I40" i="2"/>
  <c r="I39" i="2"/>
  <c r="I37" i="2"/>
  <c r="I36" i="2"/>
  <c r="I34" i="2"/>
  <c r="I33" i="2"/>
  <c r="I32" i="2"/>
  <c r="I31" i="2"/>
  <c r="I30" i="2"/>
  <c r="I29" i="2"/>
  <c r="I28" i="2"/>
  <c r="I27" i="2"/>
  <c r="I23" i="2"/>
  <c r="I24" i="2"/>
  <c r="I35" i="2"/>
  <c r="I50" i="2"/>
  <c r="I26" i="2"/>
  <c r="L320" i="2" l="1"/>
  <c r="L311" i="2"/>
  <c r="L297" i="2"/>
  <c r="L299" i="2"/>
  <c r="L313" i="2"/>
  <c r="L306" i="2"/>
  <c r="L307" i="2"/>
  <c r="L309" i="2"/>
  <c r="L316" i="2"/>
  <c r="L298" i="2"/>
  <c r="L312" i="2"/>
  <c r="L304" i="2"/>
  <c r="L301" i="2"/>
  <c r="L318" i="2"/>
  <c r="F109" i="2"/>
  <c r="I109" i="2"/>
  <c r="K109" i="2" s="1"/>
  <c r="L109" i="2" s="1"/>
  <c r="F110" i="2"/>
  <c r="I110" i="2"/>
  <c r="K110" i="2" s="1"/>
  <c r="L110" i="2" l="1"/>
  <c r="K38" i="2"/>
  <c r="F38" i="2"/>
  <c r="K26" i="2"/>
  <c r="F26" i="2"/>
  <c r="K25" i="2"/>
  <c r="F25" i="2"/>
  <c r="K50" i="2"/>
  <c r="F50" i="2"/>
  <c r="F49" i="2"/>
  <c r="F48" i="2"/>
  <c r="F47" i="2"/>
  <c r="F46" i="2"/>
  <c r="F45" i="2"/>
  <c r="K44" i="2"/>
  <c r="F44" i="2"/>
  <c r="K43" i="2"/>
  <c r="F43" i="2"/>
  <c r="K42" i="2"/>
  <c r="F42" i="2"/>
  <c r="K41" i="2"/>
  <c r="F41" i="2"/>
  <c r="K40" i="2"/>
  <c r="F40" i="2"/>
  <c r="K39" i="2"/>
  <c r="F39" i="2"/>
  <c r="K37" i="2"/>
  <c r="F37" i="2"/>
  <c r="K36" i="2"/>
  <c r="F36" i="2"/>
  <c r="K35" i="2"/>
  <c r="F35" i="2"/>
  <c r="K34" i="2"/>
  <c r="F34" i="2"/>
  <c r="K33" i="2"/>
  <c r="F33" i="2"/>
  <c r="K32" i="2"/>
  <c r="F32" i="2"/>
  <c r="K31" i="2"/>
  <c r="F31" i="2"/>
  <c r="K30" i="2"/>
  <c r="F30" i="2"/>
  <c r="K29" i="2"/>
  <c r="F29" i="2"/>
  <c r="K28" i="2"/>
  <c r="F28" i="2"/>
  <c r="K27" i="2"/>
  <c r="F27" i="2"/>
  <c r="K24" i="2"/>
  <c r="F24" i="2"/>
  <c r="K23" i="2"/>
  <c r="F23" i="2"/>
  <c r="I238" i="2"/>
  <c r="K238" i="2" s="1"/>
  <c r="F238" i="2"/>
  <c r="I239" i="2"/>
  <c r="K239" i="2" s="1"/>
  <c r="F239" i="2"/>
  <c r="F237" i="2"/>
  <c r="I232" i="2"/>
  <c r="K232" i="2" s="1"/>
  <c r="I233" i="2"/>
  <c r="K233" i="2" s="1"/>
  <c r="I231" i="2"/>
  <c r="K231" i="2" s="1"/>
  <c r="F231" i="2"/>
  <c r="I230" i="2"/>
  <c r="K230" i="2" s="1"/>
  <c r="I229" i="2"/>
  <c r="K229" i="2" s="1"/>
  <c r="F229" i="2"/>
  <c r="I236" i="2"/>
  <c r="K236" i="2" s="1"/>
  <c r="I234" i="2"/>
  <c r="K234" i="2" s="1"/>
  <c r="I235" i="2"/>
  <c r="K235" i="2" s="1"/>
  <c r="F234" i="2"/>
  <c r="I228" i="2"/>
  <c r="K228" i="2" s="1"/>
  <c r="I227" i="2"/>
  <c r="K227" i="2" s="1"/>
  <c r="F227" i="2"/>
  <c r="I226" i="2"/>
  <c r="K226" i="2" s="1"/>
  <c r="I225" i="2"/>
  <c r="K225" i="2" s="1"/>
  <c r="I224" i="2"/>
  <c r="K224" i="2" s="1"/>
  <c r="F224" i="2"/>
  <c r="I223" i="2"/>
  <c r="K223" i="2" s="1"/>
  <c r="I222" i="2"/>
  <c r="K222" i="2" s="1"/>
  <c r="I221" i="2"/>
  <c r="K221" i="2" s="1"/>
  <c r="F221" i="2"/>
  <c r="I211" i="2"/>
  <c r="K211" i="2" s="1"/>
  <c r="I209" i="2"/>
  <c r="K209" i="2" s="1"/>
  <c r="I210" i="2"/>
  <c r="K210" i="2" s="1"/>
  <c r="F209" i="2"/>
  <c r="I206" i="2"/>
  <c r="K206" i="2" s="1"/>
  <c r="I207" i="2"/>
  <c r="K207" i="2" s="1"/>
  <c r="F207" i="2"/>
  <c r="K194" i="2"/>
  <c r="F194" i="2"/>
  <c r="I193" i="2"/>
  <c r="K193" i="2" s="1"/>
  <c r="K192" i="2"/>
  <c r="F192" i="2"/>
  <c r="I198" i="2"/>
  <c r="K198" i="2" s="1"/>
  <c r="I197" i="2"/>
  <c r="K197" i="2" s="1"/>
  <c r="I196" i="2"/>
  <c r="K196" i="2" s="1"/>
  <c r="I195" i="2"/>
  <c r="K195" i="2" s="1"/>
  <c r="F195" i="2"/>
  <c r="I203" i="2"/>
  <c r="K203" i="2" s="1"/>
  <c r="I202" i="2"/>
  <c r="K202" i="2" s="1"/>
  <c r="I201" i="2"/>
  <c r="K201" i="2" s="1"/>
  <c r="I200" i="2"/>
  <c r="K200" i="2" s="1"/>
  <c r="I199" i="2"/>
  <c r="K199" i="2" s="1"/>
  <c r="I178" i="2"/>
  <c r="K178" i="2" s="1"/>
  <c r="F178" i="2"/>
  <c r="I177" i="2"/>
  <c r="K177" i="2" s="1"/>
  <c r="I176" i="2"/>
  <c r="K176" i="2" s="1"/>
  <c r="F176" i="2"/>
  <c r="I175" i="2"/>
  <c r="K175" i="2" s="1"/>
  <c r="I173" i="2"/>
  <c r="K173" i="2" s="1"/>
  <c r="I172" i="2"/>
  <c r="K172" i="2" s="1"/>
  <c r="F172" i="2"/>
  <c r="I174" i="2"/>
  <c r="K174" i="2" s="1"/>
  <c r="F174" i="2"/>
  <c r="I170" i="2"/>
  <c r="K170" i="2" s="1"/>
  <c r="I169" i="2"/>
  <c r="K169" i="2" s="1"/>
  <c r="I171" i="2"/>
  <c r="K171" i="2" s="1"/>
  <c r="F169" i="2"/>
  <c r="I181" i="2"/>
  <c r="K181" i="2" s="1"/>
  <c r="I180" i="2"/>
  <c r="K180" i="2" s="1"/>
  <c r="I179" i="2"/>
  <c r="K179" i="2" s="1"/>
  <c r="F179" i="2"/>
  <c r="I161" i="2"/>
  <c r="K161" i="2" s="1"/>
  <c r="I160" i="2"/>
  <c r="K160" i="2" s="1"/>
  <c r="I159" i="2"/>
  <c r="K159" i="2" s="1"/>
  <c r="I158" i="2"/>
  <c r="K158" i="2" s="1"/>
  <c r="F158" i="2"/>
  <c r="I151" i="2"/>
  <c r="K151" i="2" s="1"/>
  <c r="I152" i="2"/>
  <c r="K152" i="2" s="1"/>
  <c r="F151" i="2"/>
  <c r="I150" i="2"/>
  <c r="K150" i="2" s="1"/>
  <c r="I149" i="2"/>
  <c r="K149" i="2" s="1"/>
  <c r="F149" i="2"/>
  <c r="I148" i="2"/>
  <c r="K148" i="2" s="1"/>
  <c r="I147" i="2"/>
  <c r="K147" i="2" s="1"/>
  <c r="F147" i="2"/>
  <c r="I146" i="2"/>
  <c r="K146" i="2" s="1"/>
  <c r="I145" i="2"/>
  <c r="K145" i="2" s="1"/>
  <c r="F145" i="2"/>
  <c r="I143" i="2"/>
  <c r="K143" i="2" s="1"/>
  <c r="I144" i="2"/>
  <c r="K144" i="2" s="1"/>
  <c r="F143" i="2"/>
  <c r="I142" i="2"/>
  <c r="K142" i="2" s="1"/>
  <c r="I136" i="2"/>
  <c r="K136" i="2" s="1"/>
  <c r="I133" i="2"/>
  <c r="K133" i="2" s="1"/>
  <c r="I141" i="2"/>
  <c r="K141" i="2" s="1"/>
  <c r="F141" i="2"/>
  <c r="I129" i="2"/>
  <c r="K129" i="2" s="1"/>
  <c r="F129" i="2"/>
  <c r="I164" i="2"/>
  <c r="K164" i="2" s="1"/>
  <c r="I156" i="2"/>
  <c r="I165" i="2"/>
  <c r="K165" i="2" s="1"/>
  <c r="I163" i="2"/>
  <c r="K163" i="2" s="1"/>
  <c r="I162" i="2"/>
  <c r="K162" i="2" s="1"/>
  <c r="F162" i="2"/>
  <c r="I126" i="2"/>
  <c r="K126" i="2" s="1"/>
  <c r="F126" i="2"/>
  <c r="I121" i="2"/>
  <c r="K121" i="2" s="1"/>
  <c r="F121" i="2"/>
  <c r="I123" i="2"/>
  <c r="K123" i="2" s="1"/>
  <c r="F123" i="2"/>
  <c r="I127" i="2"/>
  <c r="K127" i="2" s="1"/>
  <c r="F127" i="2"/>
  <c r="I122" i="2"/>
  <c r="K122" i="2" s="1"/>
  <c r="F122" i="2"/>
  <c r="I119" i="2"/>
  <c r="K119" i="2" s="1"/>
  <c r="F119" i="2"/>
  <c r="I120" i="2"/>
  <c r="K120" i="2" s="1"/>
  <c r="F120" i="2"/>
  <c r="I116" i="2"/>
  <c r="K116" i="2" s="1"/>
  <c r="I117" i="2"/>
  <c r="K117" i="2" s="1"/>
  <c r="I111" i="2"/>
  <c r="K111" i="2" s="1"/>
  <c r="I113" i="2"/>
  <c r="K113" i="2" s="1"/>
  <c r="I112" i="2"/>
  <c r="I115" i="2"/>
  <c r="K115" i="2" s="1"/>
  <c r="I114" i="2"/>
  <c r="K114" i="2" s="1"/>
  <c r="L239" i="2" l="1"/>
  <c r="L23" i="2"/>
  <c r="L33" i="2"/>
  <c r="L42" i="2"/>
  <c r="L46" i="2"/>
  <c r="L24" i="2"/>
  <c r="L34" i="2"/>
  <c r="L43" i="2"/>
  <c r="L25" i="2"/>
  <c r="L27" i="2"/>
  <c r="L31" i="2"/>
  <c r="L35" i="2"/>
  <c r="L40" i="2"/>
  <c r="L44" i="2"/>
  <c r="L48" i="2"/>
  <c r="L26" i="2"/>
  <c r="L29" i="2"/>
  <c r="L37" i="2"/>
  <c r="L50" i="2"/>
  <c r="L30" i="2"/>
  <c r="L39" i="2"/>
  <c r="L47" i="2"/>
  <c r="L28" i="2"/>
  <c r="L32" i="2"/>
  <c r="L36" i="2"/>
  <c r="L41" i="2"/>
  <c r="L45" i="2"/>
  <c r="L49" i="2"/>
  <c r="L38" i="2"/>
  <c r="L238" i="2"/>
  <c r="L237" i="2"/>
  <c r="L231" i="2"/>
  <c r="L229" i="2"/>
  <c r="L234" i="2"/>
  <c r="L221" i="2"/>
  <c r="L224" i="2"/>
  <c r="L227" i="2"/>
  <c r="L209" i="2"/>
  <c r="L207" i="2"/>
  <c r="F206" i="2"/>
  <c r="L206" i="2" s="1"/>
  <c r="L194" i="2"/>
  <c r="L192" i="2"/>
  <c r="L195" i="2"/>
  <c r="L172" i="2"/>
  <c r="L199" i="2"/>
  <c r="L176" i="2"/>
  <c r="L178" i="2"/>
  <c r="L151" i="2"/>
  <c r="L179" i="2"/>
  <c r="L149" i="2"/>
  <c r="L174" i="2"/>
  <c r="L169" i="2"/>
  <c r="L158" i="2"/>
  <c r="L145" i="2"/>
  <c r="L147" i="2"/>
  <c r="L143" i="2"/>
  <c r="L141" i="2"/>
  <c r="L129" i="2"/>
  <c r="L119" i="2"/>
  <c r="L126" i="2"/>
  <c r="L122" i="2"/>
  <c r="L162" i="2"/>
  <c r="L121" i="2"/>
  <c r="L123" i="2"/>
  <c r="L127" i="2"/>
  <c r="L120" i="2"/>
  <c r="I108" i="2" l="1"/>
  <c r="K108" i="2" s="1"/>
  <c r="K112" i="2"/>
  <c r="F111" i="2"/>
  <c r="F108" i="2"/>
  <c r="F117" i="2"/>
  <c r="L117" i="2" s="1"/>
  <c r="F116" i="2"/>
  <c r="I66" i="2"/>
  <c r="K66" i="2" s="1"/>
  <c r="I73" i="2"/>
  <c r="K73" i="2" s="1"/>
  <c r="I70" i="2"/>
  <c r="K70" i="2" s="1"/>
  <c r="I69" i="2"/>
  <c r="K69" i="2" s="1"/>
  <c r="I68" i="2"/>
  <c r="K68" i="2" s="1"/>
  <c r="I67" i="2"/>
  <c r="K67" i="2" s="1"/>
  <c r="I76" i="2"/>
  <c r="K76" i="2" s="1"/>
  <c r="I75" i="2"/>
  <c r="K75" i="2" s="1"/>
  <c r="I74" i="2"/>
  <c r="K74" i="2" s="1"/>
  <c r="I72" i="2"/>
  <c r="K72" i="2" s="1"/>
  <c r="I71" i="2"/>
  <c r="K71" i="2" s="1"/>
  <c r="F66" i="2"/>
  <c r="I101" i="2"/>
  <c r="K101" i="2" s="1"/>
  <c r="I102" i="2"/>
  <c r="K102" i="2" s="1"/>
  <c r="F101" i="2"/>
  <c r="L111" i="2" l="1"/>
  <c r="L116" i="2"/>
  <c r="L108" i="2"/>
  <c r="L66" i="2"/>
  <c r="L101" i="2"/>
  <c r="I20" i="2"/>
  <c r="I19" i="2"/>
  <c r="I335" i="2" l="1"/>
  <c r="K335" i="2" s="1"/>
  <c r="I334" i="2"/>
  <c r="K334" i="2" s="1"/>
  <c r="F334" i="2"/>
  <c r="I328" i="2"/>
  <c r="K328" i="2" s="1"/>
  <c r="I327" i="2"/>
  <c r="K327" i="2" s="1"/>
  <c r="F327" i="2"/>
  <c r="I326" i="2"/>
  <c r="K326" i="2" s="1"/>
  <c r="L334" i="2" l="1"/>
  <c r="L327" i="2"/>
  <c r="I208" i="2"/>
  <c r="K208" i="2" s="1"/>
  <c r="F208" i="2"/>
  <c r="L208" i="2" l="1"/>
  <c r="I332" i="2" l="1"/>
  <c r="I333" i="2"/>
  <c r="I331" i="2"/>
  <c r="I325" i="2"/>
  <c r="I344" i="2" l="1"/>
  <c r="K344" i="2" s="1"/>
  <c r="I345" i="2"/>
  <c r="K345" i="2" s="1"/>
  <c r="I347" i="2"/>
  <c r="K347" i="2" s="1"/>
  <c r="I346" i="2"/>
  <c r="K346" i="2" s="1"/>
  <c r="I348" i="2"/>
  <c r="K348" i="2" s="1"/>
  <c r="I350" i="2"/>
  <c r="K350" i="2" s="1"/>
  <c r="I343" i="2"/>
  <c r="K343" i="2" s="1"/>
  <c r="I352" i="2"/>
  <c r="K352" i="2" s="1"/>
  <c r="I353" i="2"/>
  <c r="K353" i="2" s="1"/>
  <c r="I354" i="2"/>
  <c r="K354" i="2" s="1"/>
  <c r="I355" i="2"/>
  <c r="K355" i="2" s="1"/>
  <c r="I360" i="2"/>
  <c r="K360" i="2" s="1"/>
  <c r="I361" i="2"/>
  <c r="K361" i="2" s="1"/>
  <c r="I366" i="2"/>
  <c r="K366" i="2" s="1"/>
  <c r="I368" i="2"/>
  <c r="K368" i="2" s="1"/>
  <c r="I342" i="2"/>
  <c r="K342" i="2" s="1"/>
  <c r="F332" i="2"/>
  <c r="K333" i="2"/>
  <c r="K332" i="2"/>
  <c r="I340" i="2"/>
  <c r="K340" i="2" s="1"/>
  <c r="I341" i="2"/>
  <c r="K341" i="2" s="1"/>
  <c r="K325" i="2"/>
  <c r="F346" i="2"/>
  <c r="F360" i="2"/>
  <c r="F355" i="2"/>
  <c r="F354" i="2"/>
  <c r="F353" i="2"/>
  <c r="K370" i="2"/>
  <c r="F370" i="2"/>
  <c r="K369" i="2"/>
  <c r="F369" i="2"/>
  <c r="K371" i="2"/>
  <c r="F371" i="2"/>
  <c r="F368" i="2"/>
  <c r="F366" i="2"/>
  <c r="F361" i="2"/>
  <c r="F352" i="2"/>
  <c r="F343" i="2"/>
  <c r="F350" i="2"/>
  <c r="F348" i="2"/>
  <c r="F347" i="2"/>
  <c r="F345" i="2"/>
  <c r="F344" i="2"/>
  <c r="F342" i="2"/>
  <c r="F341" i="2"/>
  <c r="F340" i="2"/>
  <c r="K331" i="2"/>
  <c r="F331" i="2"/>
  <c r="F325" i="2"/>
  <c r="I186" i="2"/>
  <c r="K186" i="2" s="1"/>
  <c r="F186" i="2"/>
  <c r="I185" i="2"/>
  <c r="K185" i="2" s="1"/>
  <c r="F185" i="2"/>
  <c r="I184" i="2"/>
  <c r="K184" i="2" s="1"/>
  <c r="I183" i="2"/>
  <c r="K183" i="2" s="1"/>
  <c r="I182" i="2"/>
  <c r="K182" i="2" s="1"/>
  <c r="F182" i="2"/>
  <c r="K460" i="2"/>
  <c r="I22" i="2"/>
  <c r="K22" i="2" s="1"/>
  <c r="I21" i="2"/>
  <c r="K21" i="2" s="1"/>
  <c r="K463" i="2"/>
  <c r="K20" i="2"/>
  <c r="F20" i="2"/>
  <c r="K19" i="2"/>
  <c r="K51" i="2" s="1"/>
  <c r="K372" i="2" l="1"/>
  <c r="F372" i="2"/>
  <c r="L355" i="2"/>
  <c r="L325" i="2"/>
  <c r="L341" i="2"/>
  <c r="L345" i="2"/>
  <c r="L344" i="2"/>
  <c r="L348" i="2"/>
  <c r="L346" i="2"/>
  <c r="L352" i="2"/>
  <c r="L368" i="2"/>
  <c r="L354" i="2"/>
  <c r="L370" i="2"/>
  <c r="L366" i="2"/>
  <c r="L353" i="2"/>
  <c r="L361" i="2"/>
  <c r="L371" i="2"/>
  <c r="L369" i="2"/>
  <c r="L332" i="2"/>
  <c r="L360" i="2"/>
  <c r="L343" i="2"/>
  <c r="L340" i="2"/>
  <c r="L350" i="2"/>
  <c r="L342" i="2"/>
  <c r="L347" i="2"/>
  <c r="L331" i="2"/>
  <c r="L185" i="2"/>
  <c r="L186" i="2"/>
  <c r="L20" i="2"/>
  <c r="L182" i="2"/>
  <c r="F22" i="2"/>
  <c r="L22" i="2" s="1"/>
  <c r="F21" i="2"/>
  <c r="L21" i="2" s="1"/>
  <c r="F465" i="2"/>
  <c r="L465" i="2" s="1"/>
  <c r="F463" i="2"/>
  <c r="L463" i="2" s="1"/>
  <c r="I462" i="2"/>
  <c r="K462" i="2" s="1"/>
  <c r="K466" i="2" s="1"/>
  <c r="F462" i="2"/>
  <c r="F19" i="2"/>
  <c r="L372" i="2" l="1"/>
  <c r="L373" i="2" s="1"/>
  <c r="F51" i="2"/>
  <c r="L19" i="2"/>
  <c r="L52" i="2" s="1"/>
  <c r="L462" i="2"/>
  <c r="I98" i="2" l="1"/>
  <c r="K98" i="2" s="1"/>
  <c r="I97" i="2"/>
  <c r="K97" i="2" s="1"/>
  <c r="I96" i="2"/>
  <c r="K96" i="2" s="1"/>
  <c r="I95" i="2"/>
  <c r="K95" i="2" s="1"/>
  <c r="I94" i="2"/>
  <c r="K94" i="2" s="1"/>
  <c r="I92" i="2"/>
  <c r="K92" i="2" s="1"/>
  <c r="I91" i="2"/>
  <c r="K91" i="2" s="1"/>
  <c r="I89" i="2"/>
  <c r="K89" i="2" s="1"/>
  <c r="I100" i="2"/>
  <c r="K100" i="2" s="1"/>
  <c r="I99" i="2"/>
  <c r="K99" i="2" s="1"/>
  <c r="I93" i="2"/>
  <c r="K93" i="2" s="1"/>
  <c r="I90" i="2"/>
  <c r="K90" i="2" s="1"/>
  <c r="I88" i="2"/>
  <c r="K88" i="2" s="1"/>
  <c r="F88" i="2"/>
  <c r="I244" i="2"/>
  <c r="I243" i="2"/>
  <c r="L88" i="2" l="1"/>
  <c r="I246" i="2"/>
  <c r="K246" i="2" s="1"/>
  <c r="I245" i="2"/>
  <c r="K245" i="2" s="1"/>
  <c r="F245" i="2"/>
  <c r="K244" i="2"/>
  <c r="K243" i="2"/>
  <c r="K242" i="2"/>
  <c r="F242" i="2"/>
  <c r="I241" i="2"/>
  <c r="K241" i="2" s="1"/>
  <c r="I240" i="2"/>
  <c r="K240" i="2" s="1"/>
  <c r="F240" i="2"/>
  <c r="I220" i="2"/>
  <c r="K220" i="2" s="1"/>
  <c r="I219" i="2"/>
  <c r="K219" i="2" s="1"/>
  <c r="I218" i="2"/>
  <c r="K218" i="2" s="1"/>
  <c r="F218" i="2"/>
  <c r="I217" i="2"/>
  <c r="K217" i="2" s="1"/>
  <c r="I216" i="2"/>
  <c r="K216" i="2" s="1"/>
  <c r="I215" i="2"/>
  <c r="K215" i="2" s="1"/>
  <c r="F215" i="2"/>
  <c r="I214" i="2"/>
  <c r="K214" i="2" s="1"/>
  <c r="I213" i="2"/>
  <c r="K213" i="2" s="1"/>
  <c r="I212" i="2"/>
  <c r="K212" i="2" s="1"/>
  <c r="F212" i="2"/>
  <c r="F204" i="2"/>
  <c r="I190" i="2"/>
  <c r="K190" i="2" s="1"/>
  <c r="F190" i="2"/>
  <c r="I294" i="2"/>
  <c r="K294" i="2" s="1"/>
  <c r="I293" i="2"/>
  <c r="K293" i="2" s="1"/>
  <c r="I292" i="2"/>
  <c r="K292" i="2" s="1"/>
  <c r="I291" i="2"/>
  <c r="K291" i="2" s="1"/>
  <c r="I290" i="2"/>
  <c r="K290" i="2" s="1"/>
  <c r="I289" i="2"/>
  <c r="K289" i="2" s="1"/>
  <c r="I288" i="2"/>
  <c r="K288" i="2" s="1"/>
  <c r="I287" i="2"/>
  <c r="K287" i="2" s="1"/>
  <c r="I286" i="2"/>
  <c r="K286" i="2" s="1"/>
  <c r="I284" i="2"/>
  <c r="K284" i="2" s="1"/>
  <c r="I283" i="2"/>
  <c r="I285" i="2" s="1"/>
  <c r="K285" i="2" s="1"/>
  <c r="I282" i="2"/>
  <c r="K282" i="2" s="1"/>
  <c r="F282" i="2"/>
  <c r="I253" i="2"/>
  <c r="K253" i="2" s="1"/>
  <c r="I252" i="2"/>
  <c r="K252" i="2" s="1"/>
  <c r="I251" i="2"/>
  <c r="K251" i="2" s="1"/>
  <c r="F251" i="2"/>
  <c r="I296" i="2"/>
  <c r="K296" i="2" s="1"/>
  <c r="F296" i="2"/>
  <c r="I295" i="2"/>
  <c r="K295" i="2" s="1"/>
  <c r="F295" i="2"/>
  <c r="I138" i="2"/>
  <c r="K138" i="2" s="1"/>
  <c r="I153" i="2"/>
  <c r="K153" i="2" s="1"/>
  <c r="F153" i="2"/>
  <c r="I140" i="2"/>
  <c r="K140" i="2" s="1"/>
  <c r="F140" i="2"/>
  <c r="I135" i="2"/>
  <c r="K135" i="2" s="1"/>
  <c r="F135" i="2"/>
  <c r="I131" i="2"/>
  <c r="K131" i="2" s="1"/>
  <c r="I130" i="2"/>
  <c r="K130" i="2" s="1"/>
  <c r="F130" i="2"/>
  <c r="I157" i="2"/>
  <c r="K157" i="2" s="1"/>
  <c r="K156" i="2"/>
  <c r="I155" i="2"/>
  <c r="K155" i="2" s="1"/>
  <c r="I154" i="2"/>
  <c r="K154" i="2" s="1"/>
  <c r="F154" i="2"/>
  <c r="I107" i="2"/>
  <c r="K107" i="2" s="1"/>
  <c r="I106" i="2"/>
  <c r="K106" i="2" s="1"/>
  <c r="F106" i="2"/>
  <c r="I105" i="2"/>
  <c r="K105" i="2" s="1"/>
  <c r="I103" i="2"/>
  <c r="I104" i="2" s="1"/>
  <c r="K104" i="2" s="1"/>
  <c r="F103" i="2"/>
  <c r="I87" i="2"/>
  <c r="K87" i="2" s="1"/>
  <c r="I86" i="2"/>
  <c r="K86" i="2" s="1"/>
  <c r="I85" i="2"/>
  <c r="K85" i="2" s="1"/>
  <c r="I84" i="2"/>
  <c r="K84" i="2" s="1"/>
  <c r="I83" i="2"/>
  <c r="K83" i="2" s="1"/>
  <c r="I82" i="2"/>
  <c r="K82" i="2" s="1"/>
  <c r="I81" i="2"/>
  <c r="K81" i="2" s="1"/>
  <c r="I80" i="2"/>
  <c r="K80" i="2" s="1"/>
  <c r="I79" i="2"/>
  <c r="K79" i="2" s="1"/>
  <c r="I78" i="2"/>
  <c r="K78" i="2" s="1"/>
  <c r="I77" i="2"/>
  <c r="K77" i="2" s="1"/>
  <c r="F77" i="2"/>
  <c r="I65" i="2"/>
  <c r="K65" i="2" s="1"/>
  <c r="I64" i="2"/>
  <c r="K64" i="2" s="1"/>
  <c r="I63" i="2"/>
  <c r="K63" i="2" s="1"/>
  <c r="I62" i="2"/>
  <c r="K62" i="2" s="1"/>
  <c r="I61" i="2"/>
  <c r="K61" i="2" s="1"/>
  <c r="I60" i="2"/>
  <c r="K60" i="2" s="1"/>
  <c r="I59" i="2"/>
  <c r="K59" i="2" s="1"/>
  <c r="I58" i="2"/>
  <c r="K58" i="2" s="1"/>
  <c r="I57" i="2"/>
  <c r="K57" i="2" s="1"/>
  <c r="I56" i="2"/>
  <c r="K56" i="2" s="1"/>
  <c r="I55" i="2"/>
  <c r="K55" i="2" s="1"/>
  <c r="F55" i="2"/>
  <c r="I267" i="2"/>
  <c r="L240" i="2" l="1"/>
  <c r="L296" i="2"/>
  <c r="L242" i="2"/>
  <c r="L245" i="2"/>
  <c r="L190" i="2"/>
  <c r="L212" i="2"/>
  <c r="L215" i="2"/>
  <c r="L218" i="2"/>
  <c r="L153" i="2"/>
  <c r="L106" i="2"/>
  <c r="L130" i="2"/>
  <c r="L140" i="2"/>
  <c r="L295" i="2"/>
  <c r="K283" i="2"/>
  <c r="L282" i="2" s="1"/>
  <c r="I204" i="2"/>
  <c r="K204" i="2" s="1"/>
  <c r="I205" i="2"/>
  <c r="K205" i="2" s="1"/>
  <c r="L251" i="2"/>
  <c r="L154" i="2"/>
  <c r="L135" i="2"/>
  <c r="L77" i="2"/>
  <c r="L55" i="2"/>
  <c r="K103" i="2"/>
  <c r="L103" i="2" s="1"/>
  <c r="I139" i="2"/>
  <c r="K139" i="2" s="1"/>
  <c r="I137" i="2"/>
  <c r="K137" i="2" s="1"/>
  <c r="F137" i="2"/>
  <c r="I128" i="2"/>
  <c r="K128" i="2" s="1"/>
  <c r="I118" i="2"/>
  <c r="I266" i="2"/>
  <c r="K266" i="2" s="1"/>
  <c r="I265" i="2"/>
  <c r="K265" i="2" s="1"/>
  <c r="I264" i="2"/>
  <c r="K264" i="2" s="1"/>
  <c r="I262" i="2"/>
  <c r="K262" i="2" s="1"/>
  <c r="I261" i="2"/>
  <c r="K261" i="2" s="1"/>
  <c r="I260" i="2"/>
  <c r="K260" i="2" s="1"/>
  <c r="I259" i="2"/>
  <c r="K259" i="2" s="1"/>
  <c r="I258" i="2"/>
  <c r="K258" i="2" s="1"/>
  <c r="I257" i="2"/>
  <c r="K257" i="2" s="1"/>
  <c r="I256" i="2"/>
  <c r="I263" i="2" s="1"/>
  <c r="K263" i="2" s="1"/>
  <c r="I255" i="2"/>
  <c r="K255" i="2" s="1"/>
  <c r="I254" i="2"/>
  <c r="K254" i="2" s="1"/>
  <c r="F254" i="2"/>
  <c r="F321" i="2" s="1"/>
  <c r="I281" i="2"/>
  <c r="K281" i="2" s="1"/>
  <c r="I280" i="2"/>
  <c r="K280" i="2" s="1"/>
  <c r="I279" i="2"/>
  <c r="K279" i="2" s="1"/>
  <c r="I277" i="2"/>
  <c r="K277" i="2" s="1"/>
  <c r="I276" i="2"/>
  <c r="K276" i="2" s="1"/>
  <c r="I275" i="2"/>
  <c r="K275" i="2" s="1"/>
  <c r="I274" i="2"/>
  <c r="K274" i="2" s="1"/>
  <c r="I273" i="2"/>
  <c r="K273" i="2" s="1"/>
  <c r="I272" i="2"/>
  <c r="K272" i="2" s="1"/>
  <c r="I271" i="2"/>
  <c r="K271" i="2" s="1"/>
  <c r="I270" i="2"/>
  <c r="K270" i="2" s="1"/>
  <c r="I269" i="2"/>
  <c r="I278" i="2" s="1"/>
  <c r="K278" i="2" s="1"/>
  <c r="I268" i="2"/>
  <c r="K268" i="2" s="1"/>
  <c r="K267" i="2"/>
  <c r="F267" i="2"/>
  <c r="I191" i="2"/>
  <c r="K191" i="2" s="1"/>
  <c r="K247" i="2" s="1"/>
  <c r="K125" i="2"/>
  <c r="F125" i="2"/>
  <c r="F191" i="2"/>
  <c r="F247" i="2" s="1"/>
  <c r="F118" i="2"/>
  <c r="K118" i="2" l="1"/>
  <c r="L118" i="2" s="1"/>
  <c r="L204" i="2"/>
  <c r="F128" i="2"/>
  <c r="L128" i="2" s="1"/>
  <c r="I132" i="2"/>
  <c r="K132" i="2" s="1"/>
  <c r="F132" i="2"/>
  <c r="I134" i="2"/>
  <c r="K134" i="2" s="1"/>
  <c r="I124" i="2"/>
  <c r="K124" i="2" s="1"/>
  <c r="F124" i="2"/>
  <c r="L137" i="2"/>
  <c r="K269" i="2"/>
  <c r="L267" i="2" s="1"/>
  <c r="K256" i="2"/>
  <c r="L254" i="2" s="1"/>
  <c r="L191" i="2"/>
  <c r="L248" i="2" s="1"/>
  <c r="L125" i="2"/>
  <c r="L322" i="2" l="1"/>
  <c r="K321" i="2"/>
  <c r="F187" i="2"/>
  <c r="F457" i="2" s="1"/>
  <c r="K187" i="2"/>
  <c r="K470" i="2" s="1"/>
  <c r="F460" i="2"/>
  <c r="L132" i="2"/>
  <c r="L124" i="2"/>
  <c r="L188" i="2" s="1"/>
  <c r="L460" i="2" l="1"/>
  <c r="F461" i="2"/>
  <c r="L461" i="2" s="1"/>
  <c r="F466" i="2" l="1"/>
  <c r="F470" i="2" s="1"/>
  <c r="L467" i="2"/>
</calcChain>
</file>

<file path=xl/sharedStrings.xml><?xml version="1.0" encoding="utf-8"?>
<sst xmlns="http://schemas.openxmlformats.org/spreadsheetml/2006/main" count="1340" uniqueCount="486">
  <si>
    <t>№</t>
  </si>
  <si>
    <t>Сметная стоимость, руб.</t>
  </si>
  <si>
    <t>на единицу</t>
  </si>
  <si>
    <t>общая</t>
  </si>
  <si>
    <t>Наименование этапа работ</t>
  </si>
  <si>
    <t>ед. изм.</t>
  </si>
  <si>
    <t>кол-во</t>
  </si>
  <si>
    <t>Работы</t>
  </si>
  <si>
    <t>Материалы</t>
  </si>
  <si>
    <t>Всего стоимость</t>
  </si>
  <si>
    <t>Наименование</t>
  </si>
  <si>
    <t>кг</t>
  </si>
  <si>
    <t>м2</t>
  </si>
  <si>
    <t>м3</t>
  </si>
  <si>
    <t>м.п.</t>
  </si>
  <si>
    <t>Песок</t>
  </si>
  <si>
    <t>Пленка</t>
  </si>
  <si>
    <t>Гидроизоляция пола обмазочная (2 слоя)</t>
  </si>
  <si>
    <t>Смесь Глимс Водостоп</t>
  </si>
  <si>
    <t>Цемент М500</t>
  </si>
  <si>
    <t>Фибра</t>
  </si>
  <si>
    <t>Устройство цементно-песчаная стяжки полусухого прессования с фиброволокном Н=70-100 мм под водяной теплый пол</t>
  </si>
  <si>
    <t>Термодобавка</t>
  </si>
  <si>
    <t>л.</t>
  </si>
  <si>
    <t>Устройство цементно-песчаная стяжки полусухого прессования с фиброволокном Н=70-100 мм</t>
  </si>
  <si>
    <t>ГКЛ 2500х1200х9,5</t>
  </si>
  <si>
    <t>ПП 60/27</t>
  </si>
  <si>
    <t>ПН 28/27</t>
  </si>
  <si>
    <t>удлинитель 60/27</t>
  </si>
  <si>
    <t>соединитель 60/27</t>
  </si>
  <si>
    <t>подвес 60/27</t>
  </si>
  <si>
    <t>тяга подвеса</t>
  </si>
  <si>
    <t>подвес прямой</t>
  </si>
  <si>
    <t>Шуруп LN9</t>
  </si>
  <si>
    <t>Шуруп TN25</t>
  </si>
  <si>
    <t xml:space="preserve">Анкер </t>
  </si>
  <si>
    <t>Лента армирующая</t>
  </si>
  <si>
    <t>Шпаклевка Фуген фюллер</t>
  </si>
  <si>
    <t>Монтаж гипсокартонных потолков Кнауф П 112 в 2 уровня</t>
  </si>
  <si>
    <t>Монтаж гипсокартонных потолков Кнауф П 112 в 1 уровень</t>
  </si>
  <si>
    <t>шт.</t>
  </si>
  <si>
    <t>Дюбель 6х40</t>
  </si>
  <si>
    <t>Шпатлевка Ветонит LR+</t>
  </si>
  <si>
    <t xml:space="preserve">Сетка армирующая </t>
  </si>
  <si>
    <t>СТЕНЫ</t>
  </si>
  <si>
    <t>ПОЛЫ</t>
  </si>
  <si>
    <t>ПОТОЛКИ</t>
  </si>
  <si>
    <t>Профиль направляющий ПН 50/40</t>
  </si>
  <si>
    <t xml:space="preserve">Профиль стоечный ПС 100/50 </t>
  </si>
  <si>
    <t xml:space="preserve">Шпаклевка "Унфлот" </t>
  </si>
  <si>
    <t xml:space="preserve">Лента армирующая </t>
  </si>
  <si>
    <t xml:space="preserve">Дюбель "К" 6/35 </t>
  </si>
  <si>
    <t xml:space="preserve">Лента уплотнительная </t>
  </si>
  <si>
    <t>Грунт гл.проникновения</t>
  </si>
  <si>
    <t>л</t>
  </si>
  <si>
    <t>Плита минераловатная</t>
  </si>
  <si>
    <t>Лист ГКЛ Knauf 9,5 мм</t>
  </si>
  <si>
    <t>Устройство перегородок  из ГКЛ  C-112</t>
  </si>
  <si>
    <t>Устройство перегородок из пеноблолка</t>
  </si>
  <si>
    <t>Пеноблок (600х300х100)</t>
  </si>
  <si>
    <t>Сухая смесь</t>
  </si>
  <si>
    <t>Кирпич</t>
  </si>
  <si>
    <t>Раствор кладочный</t>
  </si>
  <si>
    <t>Облицовка стен плиткой</t>
  </si>
  <si>
    <t xml:space="preserve">Плитка </t>
  </si>
  <si>
    <t>Клей плиточный</t>
  </si>
  <si>
    <t>Затирка для швов</t>
  </si>
  <si>
    <t>Устройство перфорированного
 уголка</t>
  </si>
  <si>
    <t>Перфорированный уголок</t>
  </si>
  <si>
    <t>Скобки</t>
  </si>
  <si>
    <t>упак</t>
  </si>
  <si>
    <t>Шпатлевка стен по ГКЛ</t>
  </si>
  <si>
    <t>Шлифсетка</t>
  </si>
  <si>
    <t xml:space="preserve">Оклейка стен паутинкой </t>
  </si>
  <si>
    <t>Паутинка</t>
  </si>
  <si>
    <t>Стеклообои</t>
  </si>
  <si>
    <t xml:space="preserve">Высококачественная окраска стен латексной краской  </t>
  </si>
  <si>
    <t xml:space="preserve">Шуруп TN35 </t>
  </si>
  <si>
    <t xml:space="preserve">Шуруп  TN25 </t>
  </si>
  <si>
    <t xml:space="preserve">Шуруп  TN35 </t>
  </si>
  <si>
    <t>Устройство подвесных потолков типа Армстронг "Байкал"</t>
  </si>
  <si>
    <t>Подвесной потолок типа Армстронг "Байкал"  600х600х13</t>
  </si>
  <si>
    <t>Устройство металлокаркаса для подвесного потолка из ГКЛ</t>
  </si>
  <si>
    <t>Труба стальная 50х25</t>
  </si>
  <si>
    <t>Электроды</t>
  </si>
  <si>
    <t>Устройство противопожарного подвесного потолка из ОГКЛ по металлическому  каркасу в 2-а слоя, предел огнестойкости EI-45</t>
  </si>
  <si>
    <t>Соединитель профилей одноуровневый</t>
  </si>
  <si>
    <t>Подвесы с зажимом</t>
  </si>
  <si>
    <t>Тяга подвеса</t>
  </si>
  <si>
    <t>Саморез 25 мм</t>
  </si>
  <si>
    <t>Анкерный элемент</t>
  </si>
  <si>
    <t>Дюбель 6/35</t>
  </si>
  <si>
    <t>Гипсокартон ОГКЛ 9,5 мм</t>
  </si>
  <si>
    <t>Профиль  60/27</t>
  </si>
  <si>
    <t>Профиль  28/27</t>
  </si>
  <si>
    <t>Удлинитель  60/27</t>
  </si>
  <si>
    <t>Профиль маячковый</t>
  </si>
  <si>
    <t>Клей для ковролина</t>
  </si>
  <si>
    <t>Стыковочный профиль</t>
  </si>
  <si>
    <t>Дюбель анкерный</t>
  </si>
  <si>
    <t>Саморез</t>
  </si>
  <si>
    <t>Устройство плинтуса пластикового</t>
  </si>
  <si>
    <t>Плинтус пластиковый</t>
  </si>
  <si>
    <t>Смесь М-300</t>
  </si>
  <si>
    <t>Клей (Unis+)</t>
  </si>
  <si>
    <t>Укладка  ковролина</t>
  </si>
  <si>
    <t>Люк ревизии 300х300</t>
  </si>
  <si>
    <t>Керамогранит</t>
  </si>
  <si>
    <t>Клей для плитки</t>
  </si>
  <si>
    <t>Облицовка стен ГКЛ в 2 слоя по металлическому  каркасу  С-623</t>
  </si>
  <si>
    <t>Профиль ПП 60/27</t>
  </si>
  <si>
    <t>Профиль ПН 28/27</t>
  </si>
  <si>
    <t>Подвес прямой 60/27</t>
  </si>
  <si>
    <t>Шуруп LN 9</t>
  </si>
  <si>
    <t>Облицовка стен ГКЛ листами в 2 слоя по металлическому  каркасу</t>
  </si>
  <si>
    <t>ЭМР</t>
  </si>
  <si>
    <t>Всего по разделу</t>
  </si>
  <si>
    <t>ком-т</t>
  </si>
  <si>
    <t>Использование пленки для защиты от загрязнения соседних помещений</t>
  </si>
  <si>
    <t>Пленка полиэтиленовая</t>
  </si>
  <si>
    <t>Вывоз строительного мусора</t>
  </si>
  <si>
    <t>рейс</t>
  </si>
  <si>
    <t>Демонтаж  перегородок из кирпича толщ. 120 мм</t>
  </si>
  <si>
    <t>Демонтаж  перегородок из блоков толщ. 120 мм</t>
  </si>
  <si>
    <t>Мешки для мусора</t>
  </si>
  <si>
    <t>Демонтаж ГКЛ перегородок в 2 слоя</t>
  </si>
  <si>
    <t>ПРОЧИЕ РАБОТЫ</t>
  </si>
  <si>
    <t>Уборка помещения для производства работ</t>
  </si>
  <si>
    <t>т.</t>
  </si>
  <si>
    <t>Пена монтажная</t>
  </si>
  <si>
    <t>Устройство отбойников дверных</t>
  </si>
  <si>
    <t>Отбойник дверной</t>
  </si>
  <si>
    <t>Установка дверных доводчиков</t>
  </si>
  <si>
    <t>Доводчик</t>
  </si>
  <si>
    <t>Прокладка кабеля с затягиванием в гофру 3х2,5</t>
  </si>
  <si>
    <t>Прокладка кабеля с затягиванием в гофру 3х1,5</t>
  </si>
  <si>
    <t>Прокладка гофры</t>
  </si>
  <si>
    <t>Гофра с протяжкой</t>
  </si>
  <si>
    <t>Прокладка гофротрубы с кабелем UTP 5e для компьютеров</t>
  </si>
  <si>
    <t>Монтаж стального лотка</t>
  </si>
  <si>
    <t xml:space="preserve">Прокладка кабельных каналов </t>
  </si>
  <si>
    <t xml:space="preserve">Установка распаечной коробки </t>
  </si>
  <si>
    <t>распайкоробка 40х40</t>
  </si>
  <si>
    <t>Установка розетки</t>
  </si>
  <si>
    <t>розетка Легранд с заземлением и рамкой</t>
  </si>
  <si>
    <t>Установка розетки влагозащищенной</t>
  </si>
  <si>
    <t>Выключатель Легранд двухклавишный с рамкой</t>
  </si>
  <si>
    <t>Установка розетки UTP</t>
  </si>
  <si>
    <t>Розетка UTP Легранд с рамкой</t>
  </si>
  <si>
    <t>Установка розетки телефонной</t>
  </si>
  <si>
    <t>Монтаж установочной коробки</t>
  </si>
  <si>
    <t>Подрозетник</t>
  </si>
  <si>
    <t>Монтаж электрощита</t>
  </si>
  <si>
    <t>Установка и подключение встраиваемого светильника в ГКЛ потолок</t>
  </si>
  <si>
    <t>Установка и подключение встраиваемого светильника в  потолок Армстронг</t>
  </si>
  <si>
    <t>Установка и подключение светильника аварийного ВЫХОД</t>
  </si>
  <si>
    <t>Табличка ВЫХОД</t>
  </si>
  <si>
    <t>Замер сопротивления изоляции кабеля,сопротивления "фаза-ноль"и контура заземления , испытания автоматов</t>
  </si>
  <si>
    <t>Проектные работы по электрике</t>
  </si>
  <si>
    <t>Алмазный диск</t>
  </si>
  <si>
    <t>Смесь универсальная</t>
  </si>
  <si>
    <t>Монтаж автоматических выключателей однофазных</t>
  </si>
  <si>
    <t>Автомат Легранд или АВВ  трехфазный</t>
  </si>
  <si>
    <t>Монтаж автоматических выключателей трехфазных</t>
  </si>
  <si>
    <t>Автомат Легранд или АВВ  однофазный</t>
  </si>
  <si>
    <t>Счетчик трехфазный типа Меркурий</t>
  </si>
  <si>
    <t>Установка выключателя двухклавишного с коммутацией</t>
  </si>
  <si>
    <t>Установка выключателя одноклавишного с коммутацией</t>
  </si>
  <si>
    <t>Выключатель Легранд одноклавишный с рамкой</t>
  </si>
  <si>
    <t>Лоток стальной</t>
  </si>
  <si>
    <t>Светильник ARS/S 595х595х75, 4х18 Вт</t>
  </si>
  <si>
    <t>Грунт Бетонконтакт</t>
  </si>
  <si>
    <t>Клей для стеклообоев</t>
  </si>
  <si>
    <t xml:space="preserve">Расходные материалы </t>
  </si>
  <si>
    <t>Шпильки Д10 в ком.п.лекте с гайкой</t>
  </si>
  <si>
    <t>ком.п.л</t>
  </si>
  <si>
    <t>штукатурка Родбанд</t>
  </si>
  <si>
    <t>Устройство подвесных потолков типа "Грильято" с окраской в RAL</t>
  </si>
  <si>
    <t>Подвесной потолок типа "Грильято" с окраской</t>
  </si>
  <si>
    <t>Монтаж счетчика  трехфазного</t>
  </si>
  <si>
    <t>кабель ВВГНГ 3х2,5</t>
  </si>
  <si>
    <t>Гофра с протяжкой Д20</t>
  </si>
  <si>
    <t>кабель ВВГНГ 3х1,5</t>
  </si>
  <si>
    <t>кабель UTP 5e</t>
  </si>
  <si>
    <t>Устройство перегородок из кирпича (120 мм)</t>
  </si>
  <si>
    <t>Выравнивание стен ГКЛ на клею</t>
  </si>
  <si>
    <t>штукатурка Фугенфюллер</t>
  </si>
  <si>
    <t>Штукатурка откосов по маякам гипсовой смесью</t>
  </si>
  <si>
    <t>Устройство перегородок  из ГКЛ  C-112 сложной формы, в т.ч. в двух уровнях. (ниши, арки)</t>
  </si>
  <si>
    <t>Резка проема в ж. б. стене (не более 18 см)</t>
  </si>
  <si>
    <t>Диск алмазный</t>
  </si>
  <si>
    <t>Резка проема в кирпичной стене (не более 25 см)</t>
  </si>
  <si>
    <t>Резка проема в стенах из гипсовых и пеноблоков</t>
  </si>
  <si>
    <t>Усиление проема *</t>
  </si>
  <si>
    <t>Шпильки в комплекте с гайкой</t>
  </si>
  <si>
    <t>Швеллер В16</t>
  </si>
  <si>
    <t>Полоса стальная</t>
  </si>
  <si>
    <t>Уголок стальной 50х50</t>
  </si>
  <si>
    <t>Пробивка отверстий (до 200 мм) в бетонных перекрытиях,  стенах</t>
  </si>
  <si>
    <t>Пробивка отверстий (до 400 мм) в бетонных перекрытиях,  стенах</t>
  </si>
  <si>
    <t>Обработка грунтом Бетонноконтакт стен под штукатурку</t>
  </si>
  <si>
    <t>Обработка грунтом Бетоннококнтакт откосов под штукатурку</t>
  </si>
  <si>
    <t>Штукатурка стен по маякам гипсовой смесью</t>
  </si>
  <si>
    <t>Сетка 5х5</t>
  </si>
  <si>
    <t>Установка штукатурной сетки Строби</t>
  </si>
  <si>
    <t>Установка штукатурной сетки стальной</t>
  </si>
  <si>
    <t>Сетка стальная</t>
  </si>
  <si>
    <t>Штукатурка стен по маякам цементным раствором</t>
  </si>
  <si>
    <t>смесь штукатурная М-150</t>
  </si>
  <si>
    <t>Штукатурка откосов по маякам цементным раствором</t>
  </si>
  <si>
    <t>Штукатурка криволинейных стен по маякам гипсовой смесью</t>
  </si>
  <si>
    <t>Выравнивание стен гипсовой смесью</t>
  </si>
  <si>
    <t>Штукатурка радиусных откосов по маякам гипсовой смесью</t>
  </si>
  <si>
    <t>Облицовка стен мозаикой</t>
  </si>
  <si>
    <t xml:space="preserve">Мозаика </t>
  </si>
  <si>
    <t xml:space="preserve">Шпатлевка стен </t>
  </si>
  <si>
    <t>Шпатлевка откосов</t>
  </si>
  <si>
    <t>Огрунтовка стен под финишную отделку</t>
  </si>
  <si>
    <t>Шпатлевка стен под покраску</t>
  </si>
  <si>
    <t>Шпатлевка Шитрок</t>
  </si>
  <si>
    <t>Огрунтовка стен, откосов под шпатлевку</t>
  </si>
  <si>
    <t>Краска латексная TIKKURILA EURO 7, DULUX</t>
  </si>
  <si>
    <t>Оклейка стен обоями бумажными</t>
  </si>
  <si>
    <t>Оклейка стен обоями виниловыми</t>
  </si>
  <si>
    <t>Оклейка стен обоями флизилиновыми</t>
  </si>
  <si>
    <t>Клей для обоев</t>
  </si>
  <si>
    <t>Обои</t>
  </si>
  <si>
    <t>Оклейка стен обоями с подбором рисунка</t>
  </si>
  <si>
    <t>Облицовка стен плиткой менее 20х20 см</t>
  </si>
  <si>
    <t>Установка двери (финская)</t>
  </si>
  <si>
    <t>Дверь финская, с фурнитурой и ручкой</t>
  </si>
  <si>
    <t>Установка двери с зарезкой петель, замков</t>
  </si>
  <si>
    <t>Дверь с фурнитурой и ручкой</t>
  </si>
  <si>
    <t>Устройство каркаса под вагонку, ПВХ панели, ламинат</t>
  </si>
  <si>
    <t>брусок 50х40</t>
  </si>
  <si>
    <t>саморез</t>
  </si>
  <si>
    <t xml:space="preserve">вагонка </t>
  </si>
  <si>
    <t>Облицовка стен вагонкой по готовому каркасу</t>
  </si>
  <si>
    <t>Облицовка стен иммитацией бруса по готовому каркасу</t>
  </si>
  <si>
    <t>Иммитация бруса</t>
  </si>
  <si>
    <t>Облицовка стен ПВХ панелями по готовому каркасу</t>
  </si>
  <si>
    <t>Панель ПВХ</t>
  </si>
  <si>
    <t>Покрытие вагонки, иммитации бруса пропитками</t>
  </si>
  <si>
    <t xml:space="preserve">Пропитка </t>
  </si>
  <si>
    <t>Устройство цементно-песчаная стяжки  Н=30-50 мм</t>
  </si>
  <si>
    <t>Пескобетон М300</t>
  </si>
  <si>
    <t>Устройство цементно-песчаная стяжки каждые последующие 10 мм</t>
  </si>
  <si>
    <t>Смесь самовыравнивающ. VETONIT 5000</t>
  </si>
  <si>
    <t>Устройство эпоксидного наливного пола</t>
  </si>
  <si>
    <t>наливной пол на эпоксидной основе</t>
  </si>
  <si>
    <t>Устройство выравнивающей стяжки толщина 30мм</t>
  </si>
  <si>
    <t>Устройство выравнивающей стяжки  5-20 мм</t>
  </si>
  <si>
    <t xml:space="preserve">Огрунтовка основания пола </t>
  </si>
  <si>
    <t>Огрунтовка пола под укладку плитки, фанеры</t>
  </si>
  <si>
    <t>Устройство черновых полов из фанеры под паркет, массивную доску</t>
  </si>
  <si>
    <t>Фанера ФК</t>
  </si>
  <si>
    <t>Клей для фанеры</t>
  </si>
  <si>
    <t>Ковролин</t>
  </si>
  <si>
    <t>Устройство полов из керамогранита с затиркой швов</t>
  </si>
  <si>
    <t xml:space="preserve">Керамогранит </t>
  </si>
  <si>
    <t>Устройство полов из керамической плитки с затиркой швов</t>
  </si>
  <si>
    <t>Керамическая плитка</t>
  </si>
  <si>
    <t>Укладка  линолиума</t>
  </si>
  <si>
    <t>линолиум</t>
  </si>
  <si>
    <t>Укладка  коммерческого линолиума</t>
  </si>
  <si>
    <t>линолиум коммерческий</t>
  </si>
  <si>
    <t>Клей для линолиума</t>
  </si>
  <si>
    <t>Стыковочный жгут</t>
  </si>
  <si>
    <t>Устройство люков ревизии</t>
  </si>
  <si>
    <t xml:space="preserve">Устройство плинтуса из плитки </t>
  </si>
  <si>
    <t>Укладка  ламината</t>
  </si>
  <si>
    <t>ламинат</t>
  </si>
  <si>
    <t>Подложка</t>
  </si>
  <si>
    <t>Укладка  паркета</t>
  </si>
  <si>
    <t>Паркет штучный</t>
  </si>
  <si>
    <t>Клей для паркета</t>
  </si>
  <si>
    <t>Крепеж (саморез, гвоздь)</t>
  </si>
  <si>
    <t>Укладка  паркетной доски</t>
  </si>
  <si>
    <t>Паркетная доска</t>
  </si>
  <si>
    <t>Укладка  массивной доски</t>
  </si>
  <si>
    <t>Массивная доска</t>
  </si>
  <si>
    <t>Циклевка паркета</t>
  </si>
  <si>
    <t xml:space="preserve">Шкурка </t>
  </si>
  <si>
    <t>Покрытие паркета лаком в 3 слоя</t>
  </si>
  <si>
    <t xml:space="preserve">Лак паркетный полиуретановый </t>
  </si>
  <si>
    <t>Шлифовка паркета</t>
  </si>
  <si>
    <t>Демонтаж обшивки стен из ГКЛ</t>
  </si>
  <si>
    <t>Демонтаж оконных и дверных блоков</t>
  </si>
  <si>
    <t>Демонтаж обоев</t>
  </si>
  <si>
    <t>Демонтаж потолков АРМСТРОНГ</t>
  </si>
  <si>
    <t>Демонтаж реечных потолков</t>
  </si>
  <si>
    <t>Демонтаж покрытия из масляной краски</t>
  </si>
  <si>
    <t>Демонтаж покрытия из побелки</t>
  </si>
  <si>
    <t>Демонтаж покрытия из водоэмульсионной краски</t>
  </si>
  <si>
    <t>Демонтаж панелей ПВХ</t>
  </si>
  <si>
    <t>Демонтаж керамической плитки</t>
  </si>
  <si>
    <t>Демонтаж штукатурки гипсовой, цементной</t>
  </si>
  <si>
    <t>Демонтаж паркетной доски, ламината</t>
  </si>
  <si>
    <t>Демонтаж паркета, массивной доски</t>
  </si>
  <si>
    <t>Демонтаж плинтусов</t>
  </si>
  <si>
    <t>Демонтаж розеток, выключателей</t>
  </si>
  <si>
    <t>Демонтаж светильников, вентиляторов</t>
  </si>
  <si>
    <t>Демонтаж электропроводки</t>
  </si>
  <si>
    <t>Демонтаж электрощита</t>
  </si>
  <si>
    <t>Демонтаж труб водоснабжения, канализации</t>
  </si>
  <si>
    <t>Демонтаж ванны чугунной</t>
  </si>
  <si>
    <t>Демонтаж ванны акриловой, железной</t>
  </si>
  <si>
    <t>Демонтаж раковины, унитаза, биде</t>
  </si>
  <si>
    <t>Демонтаж душевой кабины</t>
  </si>
  <si>
    <t>Демонтаж радиаторов отопления</t>
  </si>
  <si>
    <t>Демонтаж инженерных сетей</t>
  </si>
  <si>
    <t>Демонтаж стяжки</t>
  </si>
  <si>
    <t>Демонтаж деревянных полов, лаг</t>
  </si>
  <si>
    <t>Демонтаж ГКЛ перегородок в 1 слой</t>
  </si>
  <si>
    <t>Демонтаж линолиума, ковролина</t>
  </si>
  <si>
    <t>Штукатурка потолка по маякам гипсовой смесью</t>
  </si>
  <si>
    <t>Устройство перфорированного уголка</t>
  </si>
  <si>
    <t xml:space="preserve">Шпатлевка потолка </t>
  </si>
  <si>
    <t>Шпатлевка потолка по ГКЛ</t>
  </si>
  <si>
    <t>Огрунтовка потолка под финишную отделку</t>
  </si>
  <si>
    <t>Шпатлевка потолка под покраску</t>
  </si>
  <si>
    <t xml:space="preserve">Оклейка потолка паутинкой </t>
  </si>
  <si>
    <t xml:space="preserve">Высококачественная окраска потолка латексной краской  </t>
  </si>
  <si>
    <t>Огрунтовка потолка под шпатлевку</t>
  </si>
  <si>
    <t>Огрунтовка потолка под окраску</t>
  </si>
  <si>
    <t>Облицовка потолка вагонкой по готовому каркасу</t>
  </si>
  <si>
    <t>Облицовка потолка ПВХ панелями по готовому каркасу</t>
  </si>
  <si>
    <t>Установка потолочных плинтусов, карнизов</t>
  </si>
  <si>
    <t>Клей полиуретановый</t>
  </si>
  <si>
    <t>кабель ВВГнг LS 3х2,5</t>
  </si>
  <si>
    <t>Устройство штроб с обратной заделкой</t>
  </si>
  <si>
    <t>Кабель канал 40х20</t>
  </si>
  <si>
    <t>Прокладка кабеля с затягиванием в кабель канал 3х2,5</t>
  </si>
  <si>
    <t>Кабель канал Легранд</t>
  </si>
  <si>
    <t>Розетка Tel Легранд с рамкой</t>
  </si>
  <si>
    <t>ДИФ автомат Легранд или АВВ  однофазный</t>
  </si>
  <si>
    <t>Монтаж ДИФ однофазного</t>
  </si>
  <si>
    <t>Монтаж ДИФ трехфазного</t>
  </si>
  <si>
    <t>ДИФ автомат Легранд или АВВ  трехфазный</t>
  </si>
  <si>
    <t>Монтаж счетчика  однофазного</t>
  </si>
  <si>
    <t>Светильник точечный</t>
  </si>
  <si>
    <t>Согласование проекта  энергоснабжения и получение акта ввода в эксплуатацию электроустановки</t>
  </si>
  <si>
    <t>Монтаж слаботочного щита</t>
  </si>
  <si>
    <t>Электрощит типа Легранд или АВВ</t>
  </si>
  <si>
    <t>Щит типа Легранд или АВВ</t>
  </si>
  <si>
    <t xml:space="preserve">Прокладка гофротрубы с телефонным кабелем </t>
  </si>
  <si>
    <t>кабель телефонный</t>
  </si>
  <si>
    <t xml:space="preserve">Прокладка гофротрубы с ТВ кабелем </t>
  </si>
  <si>
    <t>кабель ТВ</t>
  </si>
  <si>
    <t>Установка розетки ТВ</t>
  </si>
  <si>
    <t>Розетка ТВ Легранд с рамкой</t>
  </si>
  <si>
    <t>Лента диодная 14 Вт/1 пог.м</t>
  </si>
  <si>
    <t>мп</t>
  </si>
  <si>
    <t>Трансформатор 200 Вт</t>
  </si>
  <si>
    <t>шт</t>
  </si>
  <si>
    <t>Устройство подсветки диодными лентами</t>
  </si>
  <si>
    <t>Монтаж магнитного пускателя</t>
  </si>
  <si>
    <t>магнитный пускатель Легранд или АВВ  однофазный</t>
  </si>
  <si>
    <t>Монтаж импульсного реле</t>
  </si>
  <si>
    <t>импульсное реле Легранд или АВВ</t>
  </si>
  <si>
    <t>Установка и подключение люстры</t>
  </si>
  <si>
    <t xml:space="preserve">Люстра </t>
  </si>
  <si>
    <t>крепление</t>
  </si>
  <si>
    <t>Установка и подключение видеодомофона</t>
  </si>
  <si>
    <t>Комплект видеодомофона</t>
  </si>
  <si>
    <t>САНТЕХНИЧЕСКИЕ РАБОТЫ</t>
  </si>
  <si>
    <t>Прокладка оцинкованных труб Д16</t>
  </si>
  <si>
    <t>Прокладка металлопластовых труб Д16</t>
  </si>
  <si>
    <t>сгоны, углы, фитинги</t>
  </si>
  <si>
    <t>Труба оцинкованная</t>
  </si>
  <si>
    <t>Металлопластовая труба</t>
  </si>
  <si>
    <t>Прокладка полипропиленовых труб Д16</t>
  </si>
  <si>
    <t>Труба ПН-20</t>
  </si>
  <si>
    <t>Прокладка полиэтиленовых труб Д16</t>
  </si>
  <si>
    <t>полиэтиленовая труба</t>
  </si>
  <si>
    <t>Прокладка оцинкованных труб Д20</t>
  </si>
  <si>
    <t>Прокладка оцинкованных труб Д25</t>
  </si>
  <si>
    <t>Прокладка металлопластовых труб Д20</t>
  </si>
  <si>
    <t>Прокладка металлопластовых труб Д25</t>
  </si>
  <si>
    <t>Прокладка полипропиленовых труб Д20</t>
  </si>
  <si>
    <t>Прокладка полипропиленовых труб Д25</t>
  </si>
  <si>
    <t>Прокладка полиэтиленовых труб Д20</t>
  </si>
  <si>
    <t>Прокладка полиэтиленовых труб Д25</t>
  </si>
  <si>
    <t>Прокладка ПВХ трубы диаметром до 50 мм</t>
  </si>
  <si>
    <t>Штробление стен под прокладку водопроводных труб с обратной заделкой</t>
  </si>
  <si>
    <t>Штробление стен под прокладку ПВХ труб диам. до 50 мм с обратной заделкой</t>
  </si>
  <si>
    <t xml:space="preserve">ПВХ труба </t>
  </si>
  <si>
    <t>Сгоны, отводы, углы</t>
  </si>
  <si>
    <t>Штробление стен под прокладку ПВХ труб диам. 110 мм с обратной заделкой</t>
  </si>
  <si>
    <t>Прокладка ПВХ трубы диаметром 110 мм</t>
  </si>
  <si>
    <t>Установка лючка обычного</t>
  </si>
  <si>
    <t>Устройство лючка скрытого под облицовку</t>
  </si>
  <si>
    <t>Люк ревизии 400х600</t>
  </si>
  <si>
    <t>Подключение к стоякам ГВС, ХВС с отключением водоснабжения</t>
  </si>
  <si>
    <t>Кран шаровый усиленный Д20</t>
  </si>
  <si>
    <t>Монтажный комплект</t>
  </si>
  <si>
    <t>Установка счетчика воды</t>
  </si>
  <si>
    <t>Установка фильтра обычного</t>
  </si>
  <si>
    <t>Установка фильтра промывного</t>
  </si>
  <si>
    <t>Установка регулятора давления</t>
  </si>
  <si>
    <t>Установка обратного клапана</t>
  </si>
  <si>
    <t>Счетчик воды</t>
  </si>
  <si>
    <t xml:space="preserve">фильтр </t>
  </si>
  <si>
    <t>Регулятор давления</t>
  </si>
  <si>
    <t>Обратный клапан</t>
  </si>
  <si>
    <t>Установка гребенок ГВС, ХВС</t>
  </si>
  <si>
    <t>Гребенка</t>
  </si>
  <si>
    <t>Установка батареи</t>
  </si>
  <si>
    <t>Батарея</t>
  </si>
  <si>
    <t>Установка ванны чугунной</t>
  </si>
  <si>
    <t>Установка ванны акриловой</t>
  </si>
  <si>
    <t>Ванна акриловая</t>
  </si>
  <si>
    <t>Установка ванны акриловой с гидромассажем</t>
  </si>
  <si>
    <t>Ванна чугунная</t>
  </si>
  <si>
    <t>Установка ванны металлической</t>
  </si>
  <si>
    <t>Ванна металлическая</t>
  </si>
  <si>
    <t>Унитаз</t>
  </si>
  <si>
    <t>Установка раковины</t>
  </si>
  <si>
    <t>Раковина</t>
  </si>
  <si>
    <t>Установка унитаза, биде</t>
  </si>
  <si>
    <t>Установка смесителя</t>
  </si>
  <si>
    <t>Смеситель</t>
  </si>
  <si>
    <t>Установка душевой кабины</t>
  </si>
  <si>
    <t>душевая кабина</t>
  </si>
  <si>
    <t>Установка стиральной машины</t>
  </si>
  <si>
    <t>СМ</t>
  </si>
  <si>
    <t>Установка посудомоечной машины</t>
  </si>
  <si>
    <t>ПММ</t>
  </si>
  <si>
    <t>Установка водонагревателя</t>
  </si>
  <si>
    <t>Водонагреватель 80 л</t>
  </si>
  <si>
    <t>Установка полотенцесушителя</t>
  </si>
  <si>
    <t>Полотенцесушитель</t>
  </si>
  <si>
    <t>Монтаж водяных теплых полов</t>
  </si>
  <si>
    <t>Труба Rehau</t>
  </si>
  <si>
    <t>Установка шарового крана</t>
  </si>
  <si>
    <t>кран шаровый</t>
  </si>
  <si>
    <t>Установка фильтра питьевой воды</t>
  </si>
  <si>
    <t>Фильтр 5 ст. обратного осмоса</t>
  </si>
  <si>
    <t>ДЕМОНТАЖНЫЕ РАБОТЫ</t>
  </si>
  <si>
    <t>Клининг помещения после производства работ</t>
  </si>
  <si>
    <t>Погрузочно разгрузочные работы с использованием грузового лифта</t>
  </si>
  <si>
    <t>Погрузочно разгрузочные работы без лифта (за этаж)</t>
  </si>
  <si>
    <t>т./этаж</t>
  </si>
  <si>
    <t>Всего по разделам</t>
  </si>
  <si>
    <t>Итого по материалам:</t>
  </si>
  <si>
    <t>Итого по работам:</t>
  </si>
  <si>
    <t>Всего по разделу:</t>
  </si>
  <si>
    <t>ИТОГО РАБОТЫ:</t>
  </si>
  <si>
    <t>ИТОГО МАТЕРИАЛЫ:</t>
  </si>
  <si>
    <t>ВСЕГО:</t>
  </si>
  <si>
    <t>Все перечисленные в смете объемы ремонтно-отделочных работ корректируются</t>
  </si>
  <si>
    <t>при подписании акта сдачи-приемки работ.</t>
  </si>
  <si>
    <t>Работы, не предусмотренные сметой, оплачиваются по дополнительному соглашению.</t>
  </si>
  <si>
    <t>Доставка материала и  контейнер  оплачивается Заказчиком отдельно.</t>
  </si>
  <si>
    <t>Заказчик:_______________________</t>
  </si>
  <si>
    <t>Подрядчик:________________________</t>
  </si>
  <si>
    <t>Смета на ремонтно-отделочные работы</t>
  </si>
  <si>
    <t xml:space="preserve">  по адресу: г.Одинцово, ул.Беларусская д.10 кв.124</t>
  </si>
  <si>
    <t>Приложение №1 к договору №1.11 от "01" ноября 2014г .</t>
  </si>
  <si>
    <t>Заказчик:  Скуратовский В.П.</t>
  </si>
  <si>
    <t>Тел.: +7 90373553..</t>
  </si>
  <si>
    <t>E-mail:  wran55511@mail.ru</t>
  </si>
  <si>
    <t>мекомнатные</t>
  </si>
  <si>
    <t>Балкон</t>
  </si>
  <si>
    <t>Комната</t>
  </si>
  <si>
    <t>Длина</t>
  </si>
  <si>
    <t>Ширина</t>
  </si>
  <si>
    <t>Высота</t>
  </si>
  <si>
    <t>Высота   двери</t>
  </si>
  <si>
    <t>Ширина   двери</t>
  </si>
  <si>
    <t>Высота   окна</t>
  </si>
  <si>
    <t>Ширина  окна</t>
  </si>
  <si>
    <r>
      <t>S</t>
    </r>
    <r>
      <rPr>
        <b/>
        <vertAlign val="subscript"/>
        <sz val="8"/>
        <rFont val="Arial"/>
        <family val="2"/>
        <charset val="204"/>
      </rPr>
      <t>общ</t>
    </r>
    <r>
      <rPr>
        <sz val="8"/>
        <rFont val="Arial"/>
        <family val="2"/>
        <charset val="204"/>
      </rPr>
      <t>,            м</t>
    </r>
    <r>
      <rPr>
        <vertAlign val="superscript"/>
        <sz val="8"/>
        <rFont val="Arial"/>
        <family val="2"/>
        <charset val="204"/>
      </rPr>
      <t>2</t>
    </r>
  </si>
  <si>
    <r>
      <t>P</t>
    </r>
    <r>
      <rPr>
        <b/>
        <vertAlign val="subscript"/>
        <sz val="10"/>
        <rFont val="Arial"/>
        <family val="2"/>
        <charset val="204"/>
      </rPr>
      <t>потолка</t>
    </r>
    <r>
      <rPr>
        <sz val="11"/>
        <color theme="1"/>
        <rFont val="Calibri"/>
        <family val="2"/>
        <charset val="204"/>
        <scheme val="minor"/>
      </rPr>
      <t xml:space="preserve">,  </t>
    </r>
    <r>
      <rPr>
        <b/>
        <sz val="10"/>
        <rFont val="Arial"/>
        <family val="2"/>
        <charset val="204"/>
      </rPr>
      <t xml:space="preserve">            </t>
    </r>
    <r>
      <rPr>
        <sz val="11"/>
        <color theme="1"/>
        <rFont val="Calibri"/>
        <family val="2"/>
        <charset val="204"/>
        <scheme val="minor"/>
      </rPr>
      <t>м</t>
    </r>
  </si>
  <si>
    <r>
      <t>P</t>
    </r>
    <r>
      <rPr>
        <b/>
        <vertAlign val="subscript"/>
        <sz val="10"/>
        <rFont val="Arial"/>
        <family val="2"/>
        <charset val="204"/>
      </rPr>
      <t>пола</t>
    </r>
    <r>
      <rPr>
        <sz val="11"/>
        <color theme="1"/>
        <rFont val="Calibri"/>
        <family val="2"/>
        <charset val="204"/>
        <scheme val="minor"/>
      </rPr>
      <t xml:space="preserve">,  </t>
    </r>
    <r>
      <rPr>
        <b/>
        <sz val="10"/>
        <rFont val="Arial"/>
        <family val="2"/>
        <charset val="204"/>
      </rPr>
      <t xml:space="preserve">            </t>
    </r>
    <r>
      <rPr>
        <sz val="11"/>
        <color theme="1"/>
        <rFont val="Calibri"/>
        <family val="2"/>
        <charset val="204"/>
        <scheme val="minor"/>
      </rPr>
      <t>м</t>
    </r>
  </si>
  <si>
    <r>
      <t>S</t>
    </r>
    <r>
      <rPr>
        <b/>
        <vertAlign val="subscript"/>
        <sz val="10"/>
        <color indexed="9"/>
        <rFont val="Arial"/>
        <family val="2"/>
        <charset val="204"/>
      </rPr>
      <t>стен</t>
    </r>
    <r>
      <rPr>
        <sz val="10"/>
        <color indexed="9"/>
        <rFont val="Arial"/>
        <family val="2"/>
        <charset val="204"/>
      </rPr>
      <t>,            м</t>
    </r>
    <r>
      <rPr>
        <vertAlign val="superscript"/>
        <sz val="8"/>
        <color indexed="9"/>
        <rFont val="Arial"/>
        <family val="2"/>
        <charset val="204"/>
      </rPr>
      <t>2</t>
    </r>
  </si>
  <si>
    <t>Oткосы</t>
  </si>
  <si>
    <t>Комната 1</t>
  </si>
  <si>
    <t>Комната 2</t>
  </si>
  <si>
    <t>Комната 3</t>
  </si>
  <si>
    <t>Кухня</t>
  </si>
  <si>
    <t xml:space="preserve">Коридор </t>
  </si>
  <si>
    <t>Ванная</t>
  </si>
  <si>
    <t>Санузел</t>
  </si>
  <si>
    <t>Лоджия</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</si>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</sst>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4" x14ac:knownFonts="1">
    <font>
      <sz val="11"/>
      <color theme="1"/>
      <name val="Calibri"/>
      <family val="2"/>
      <charset val="204"/>
      <scheme val="minor"/>
    </font>
    <font>
      <sz val="8"/>
      <name val="Calibri"/>
      <family val="2"/>
      <charset val="204"/>
    </font>
    <font>
      <sz val="10"/>
      <name val="Helv"/>
      <charset val="204"/>
    </font>
    <font>
      <sz val="10"/>
      <name val="Arial Cyr"/>
      <charset val="204"/>
    </font>
    <font>
      <sz val="9"/>
      <color theme="1"/>
      <name val="Calibri"/>
      <family val="2"/>
      <charset val="204"/>
      <scheme val="minor"/>
    </font>
    <font>
      <b/>
      <sz val="9"/>
      <color indexed="8"/>
      <name val="Calibri"/>
      <family val="2"/>
      <charset val="204"/>
    </font>
    <font>
      <sz val="9"/>
      <name val="Calibri"/>
      <family val="2"/>
      <charset val="204"/>
    </font>
    <font>
      <sz val="9"/>
      <name val="Calibri"/>
      <family val="2"/>
      <charset val="204"/>
      <scheme val="minor"/>
    </font>
    <font>
      <sz val="9"/>
      <color indexed="8"/>
      <name val="Calibri"/>
      <family val="2"/>
      <charset val="204"/>
      <scheme val="minor"/>
    </font>
    <font>
      <b/>
      <sz val="9"/>
      <color theme="1"/>
      <name val="Calibri"/>
      <family val="2"/>
      <charset val="204"/>
      <scheme val="minor"/>
    </font>
    <font>
      <b/>
      <sz val="9"/>
      <name val="Calibri"/>
      <family val="2"/>
      <charset val="204"/>
    </font>
    <font>
      <sz val="9"/>
      <name val="Arial Cyr"/>
      <charset val="204"/>
    </font>
    <font>
      <sz val="9"/>
      <color indexed="8"/>
      <name val="Arial Cyr"/>
      <charset val="204"/>
    </font>
    <font>
      <b/>
      <sz val="9"/>
      <name val="Arial Cyr"/>
      <charset val="204"/>
    </font>
    <font>
      <b/>
      <sz val="9"/>
      <name val="Calibri"/>
      <family val="2"/>
      <charset val="204"/>
      <scheme val="minor"/>
    </font>
    <font>
      <i/>
      <sz val="9"/>
      <name val="Arial"/>
      <family val="2"/>
      <charset val="204"/>
    </font>
    <font>
      <sz val="8"/>
      <name val="Arial"/>
      <family val="2"/>
      <charset val="204"/>
    </font>
    <font>
      <sz val="10"/>
      <name val="Arial"/>
      <family val="2"/>
      <charset val="204"/>
    </font>
    <font>
      <i/>
      <sz val="9"/>
      <color theme="1"/>
      <name val="Calibri"/>
      <family val="2"/>
      <charset val="204"/>
      <scheme val="minor"/>
    </font>
    <font>
      <b/>
      <i/>
      <sz val="9"/>
      <color theme="1"/>
      <name val="Calibri"/>
      <family val="2"/>
      <charset val="204"/>
      <scheme val="minor"/>
    </font>
    <font>
      <b/>
      <i/>
      <sz val="9"/>
      <name val="Calibri"/>
      <family val="2"/>
      <charset val="204"/>
      <scheme val="minor"/>
    </font>
    <font>
      <b/>
      <sz val="10"/>
      <name val="Calibri"/>
      <family val="2"/>
      <charset val="204"/>
    </font>
    <font>
      <b/>
      <sz val="10"/>
      <name val="Arial"/>
      <family val="2"/>
      <charset val="204"/>
    </font>
    <font>
      <b/>
      <sz val="8"/>
      <name val="Arial"/>
      <family val="2"/>
      <charset val="204"/>
    </font>
    <font>
      <b/>
      <vertAlign val="subscript"/>
      <sz val="8"/>
      <name val="Arial"/>
      <family val="2"/>
      <charset val="204"/>
    </font>
    <font>
      <vertAlign val="superscript"/>
      <sz val="8"/>
      <name val="Arial"/>
      <family val="2"/>
      <charset val="204"/>
    </font>
    <font>
      <b/>
      <vertAlign val="subscript"/>
      <sz val="10"/>
      <name val="Arial"/>
      <family val="2"/>
      <charset val="204"/>
    </font>
    <font>
      <b/>
      <sz val="10"/>
      <color indexed="9"/>
      <name val="Arial"/>
      <family val="2"/>
      <charset val="204"/>
    </font>
    <font>
      <b/>
      <vertAlign val="subscript"/>
      <sz val="10"/>
      <color indexed="9"/>
      <name val="Arial"/>
      <family val="2"/>
      <charset val="204"/>
    </font>
    <font>
      <sz val="10"/>
      <color indexed="9"/>
      <name val="Arial"/>
      <family val="2"/>
      <charset val="204"/>
    </font>
    <font>
      <vertAlign val="superscript"/>
      <sz val="8"/>
      <color indexed="9"/>
      <name val="Arial"/>
      <family val="2"/>
      <charset val="204"/>
    </font>
    <font>
      <b/>
      <sz val="12"/>
      <name val="Arial"/>
      <family val="2"/>
      <charset val="204"/>
    </font>
    <font>
      <sz val="12"/>
      <name val="Arial"/>
      <family val="2"/>
      <charset val="204"/>
    </font>
    <font>
      <b/>
      <sz val="12"/>
      <color indexed="9"/>
      <name val="Arial"/>
      <family val="2"/>
      <charset val="204"/>
    </font>
  </fonts>
  <fills count="12">
    <fill>
      <patternFill patternType="none"/>
    </fill>
    <fill>
      <patternFill patternType="gray125"/>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2"/>
        <bgColor indexed="27"/>
      </patternFill>
    </fill>
    <fill>
      <patternFill patternType="solid">
        <fgColor indexed="27"/>
        <bgColor indexed="41"/>
      </patternFill>
    </fill>
    <fill>
      <patternFill patternType="solid">
        <fgColor indexed="11"/>
        <bgColor indexed="49"/>
      </patternFill>
    </fill>
    <fill>
      <patternFill patternType="solid">
        <fgColor indexed="13"/>
        <bgColor indexed="34"/>
      </patternFill>
    </fill>
    <fill>
      <patternFill patternType="solid">
        <fgColor indexed="48"/>
        <bgColor indexed="30"/>
      </patternFill>
    </fill>
    <fill>
      <patternFill patternType="solid">
        <fgColor indexed="22"/>
        <bgColor indexed="31"/>
      </patternFill>
    </fill>
    <fill>
      <patternFill patternType="solid">
        <fgColor rgb="FFFFFF00"/>
        <bgColor indexed="31"/>
      </patternFill>
    </fill>
  </fills>
  <borders count="5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8"/>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2" fillId="0" borderId="0"/>
    <xf numFmtId="0" fontId="3" fillId="0" borderId="0"/>
    <xf numFmtId="0" fontId="2" fillId="0" borderId="0"/>
  </cellStyleXfs>
  <cellXfs count="408">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0" fontId="7" fillId="0" borderId="0" xfId="1" applyFont="1" applyFill="1" applyBorder="1"/>
    <xf numFmtId="0" fontId="7" fillId="0" borderId="0" xfId="1" applyFont="1" applyFill="1"/>
    <xf numFmtId="0" fontId="7" fillId="0" borderId="7" xfId="1" applyFont="1" applyFill="1" applyBorder="1" applyAlignment="1">
      <alignment vertical="center" wrapText="1"/>
    </xf>
    <xf numFmtId="2" fontId="7" fillId="0" borderId="7" xfId="2" applyNumberFormat="1" applyFont="1" applyFill="1" applyBorder="1" applyAlignment="1">
      <alignment horizontal="center" vertical="center"/>
    </xf>
    <xf numFmtId="0" fontId="9" fillId="0" borderId="0" xfId="0" applyFont="1" applyAlignment="1">
      <alignment horizontal="center" vertical="center"/>
    </xf>
    <xf numFmtId="2" fontId="8" fillId="0" borderId="7" xfId="0" applyNumberFormat="1" applyFont="1" applyFill="1" applyBorder="1" applyAlignment="1" applyProtection="1">
      <alignment horizontal="center" vertical="center"/>
      <protection locked="0"/>
    </xf>
    <xf numFmtId="0" fontId="11" fillId="0" borderId="0" xfId="1" applyFont="1" applyFill="1" applyBorder="1"/>
    <xf numFmtId="0" fontId="11" fillId="0" borderId="0" xfId="1" applyFont="1" applyFill="1"/>
    <xf numFmtId="0" fontId="13" fillId="0" borderId="0" xfId="1" applyFont="1" applyFill="1" applyBorder="1"/>
    <xf numFmtId="0" fontId="13" fillId="0" borderId="0" xfId="1" applyFont="1" applyFill="1"/>
    <xf numFmtId="0" fontId="14" fillId="0" borderId="0" xfId="1" applyFont="1" applyFill="1" applyBorder="1" applyAlignment="1">
      <alignment vertical="center"/>
    </xf>
    <xf numFmtId="0" fontId="14" fillId="0" borderId="0" xfId="1" applyFont="1" applyFill="1" applyAlignment="1">
      <alignment vertical="center"/>
    </xf>
    <xf numFmtId="0" fontId="7" fillId="0" borderId="22" xfId="1" applyFont="1" applyFill="1" applyBorder="1" applyAlignment="1">
      <alignment vertical="center" wrapText="1"/>
    </xf>
    <xf numFmtId="2" fontId="8" fillId="0" borderId="22" xfId="0" applyNumberFormat="1" applyFont="1" applyFill="1" applyBorder="1" applyAlignment="1" applyProtection="1">
      <alignment horizontal="center" vertical="center"/>
      <protection locked="0"/>
    </xf>
    <xf numFmtId="0" fontId="14" fillId="0" borderId="0" xfId="1" applyFont="1" applyFill="1" applyBorder="1"/>
    <xf numFmtId="0" fontId="14" fillId="0" borderId="25" xfId="1" applyFont="1" applyFill="1" applyBorder="1"/>
    <xf numFmtId="0" fontId="14" fillId="0" borderId="7" xfId="1" applyFont="1" applyFill="1" applyBorder="1"/>
    <xf numFmtId="0" fontId="7" fillId="0" borderId="0" xfId="3" applyFont="1" applyFill="1" applyBorder="1" applyAlignment="1">
      <alignment wrapText="1"/>
    </xf>
    <xf numFmtId="0" fontId="7" fillId="0" borderId="7" xfId="1" applyFont="1" applyFill="1" applyBorder="1" applyAlignment="1">
      <alignment wrapText="1"/>
    </xf>
    <xf numFmtId="0" fontId="7" fillId="0" borderId="7" xfId="1" applyFont="1" applyFill="1" applyBorder="1" applyAlignment="1">
      <alignment horizontal="center"/>
    </xf>
    <xf numFmtId="0" fontId="7" fillId="0" borderId="0" xfId="1" applyFont="1" applyFill="1" applyBorder="1" applyAlignment="1">
      <alignment vertical="center" wrapText="1"/>
    </xf>
    <xf numFmtId="0" fontId="7" fillId="0" borderId="0" xfId="1" applyFont="1" applyFill="1" applyBorder="1" applyAlignment="1">
      <alignment horizontal="center" vertical="center" wrapText="1"/>
    </xf>
    <xf numFmtId="2" fontId="7" fillId="0" borderId="0" xfId="1" applyNumberFormat="1" applyFont="1" applyFill="1" applyBorder="1" applyAlignment="1">
      <alignment horizontal="center" vertical="center"/>
    </xf>
    <xf numFmtId="0" fontId="14" fillId="0" borderId="0" xfId="1" applyFont="1" applyFill="1"/>
    <xf numFmtId="0" fontId="10" fillId="0" borderId="0" xfId="0" applyFont="1" applyBorder="1" applyAlignment="1">
      <alignment horizontal="center" vertical="center"/>
    </xf>
    <xf numFmtId="0" fontId="10" fillId="0" borderId="0" xfId="0" applyFont="1" applyBorder="1" applyAlignment="1">
      <alignment horizontal="left" vertical="center"/>
    </xf>
    <xf numFmtId="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5" fillId="0" borderId="0" xfId="0" applyFont="1" applyAlignment="1">
      <alignment horizontal="left" vertical="center"/>
    </xf>
    <xf numFmtId="0" fontId="7" fillId="0" borderId="28" xfId="1" applyFont="1" applyFill="1" applyBorder="1" applyAlignment="1">
      <alignment horizontal="center" vertical="center"/>
    </xf>
    <xf numFmtId="0" fontId="7" fillId="0" borderId="29" xfId="1" applyFont="1" applyFill="1" applyBorder="1" applyAlignment="1">
      <alignment horizontal="left" vertical="center" wrapText="1"/>
    </xf>
    <xf numFmtId="0" fontId="7" fillId="0" borderId="29" xfId="1" applyFont="1" applyFill="1" applyBorder="1" applyAlignment="1">
      <alignment horizontal="center" vertical="center"/>
    </xf>
    <xf numFmtId="2" fontId="7" fillId="0" borderId="29" xfId="1" applyNumberFormat="1" applyFont="1" applyFill="1" applyBorder="1" applyAlignment="1">
      <alignment horizontal="center" vertical="center"/>
    </xf>
    <xf numFmtId="2" fontId="7" fillId="0" borderId="29" xfId="1" applyNumberFormat="1" applyFont="1" applyFill="1" applyBorder="1" applyAlignment="1" applyProtection="1">
      <alignment horizontal="center" vertical="center"/>
      <protection locked="0"/>
    </xf>
    <xf numFmtId="0" fontId="7" fillId="0" borderId="29" xfId="1" applyFont="1" applyFill="1" applyBorder="1" applyAlignment="1">
      <alignment vertical="center" wrapText="1"/>
    </xf>
    <xf numFmtId="2" fontId="8" fillId="0" borderId="29" xfId="0" applyNumberFormat="1" applyFont="1" applyFill="1" applyBorder="1" applyAlignment="1" applyProtection="1">
      <alignment horizontal="center" vertical="center"/>
      <protection locked="0"/>
    </xf>
    <xf numFmtId="2" fontId="8" fillId="0" borderId="30" xfId="0" applyNumberFormat="1" applyFont="1" applyFill="1" applyBorder="1" applyAlignment="1">
      <alignment horizontal="center" vertical="center"/>
    </xf>
    <xf numFmtId="0" fontId="16" fillId="0" borderId="0" xfId="0" applyFont="1" applyFill="1"/>
    <xf numFmtId="0" fontId="4" fillId="0" borderId="28" xfId="0" applyFont="1" applyBorder="1" applyAlignment="1">
      <alignment horizontal="center" vertical="center"/>
    </xf>
    <xf numFmtId="0" fontId="4" fillId="0" borderId="29" xfId="0" applyFont="1" applyBorder="1" applyAlignment="1">
      <alignment horizontal="left" vertical="center" wrapText="1"/>
    </xf>
    <xf numFmtId="0" fontId="4" fillId="0" borderId="29" xfId="0" applyFont="1" applyBorder="1" applyAlignment="1">
      <alignment horizontal="center" vertical="center" wrapText="1"/>
    </xf>
    <xf numFmtId="2" fontId="4" fillId="0" borderId="29"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4" fontId="6" fillId="0" borderId="29" xfId="0" applyNumberFormat="1" applyFont="1" applyBorder="1" applyAlignment="1">
      <alignment horizontal="center" vertical="center"/>
    </xf>
    <xf numFmtId="0" fontId="4" fillId="0" borderId="29" xfId="0" applyFont="1" applyBorder="1" applyAlignment="1">
      <alignment horizontal="center" vertical="center"/>
    </xf>
    <xf numFmtId="4" fontId="6" fillId="0" borderId="30"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4" fontId="6" fillId="0" borderId="9" xfId="0" applyNumberFormat="1" applyFont="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4" fontId="6" fillId="0" borderId="17" xfId="0" applyNumberFormat="1" applyFont="1" applyBorder="1" applyAlignment="1">
      <alignment horizontal="center" vertical="center"/>
    </xf>
    <xf numFmtId="0" fontId="7" fillId="0" borderId="19" xfId="1" applyFont="1" applyFill="1" applyBorder="1" applyAlignment="1">
      <alignment vertical="center" wrapText="1"/>
    </xf>
    <xf numFmtId="0" fontId="7" fillId="0" borderId="9" xfId="1" applyFont="1" applyFill="1" applyBorder="1" applyAlignment="1">
      <alignment vertical="center" wrapText="1"/>
    </xf>
    <xf numFmtId="2" fontId="8" fillId="0" borderId="9" xfId="0" applyNumberFormat="1" applyFont="1" applyFill="1" applyBorder="1" applyAlignment="1" applyProtection="1">
      <alignment horizontal="center" vertical="center"/>
      <protection locked="0"/>
    </xf>
    <xf numFmtId="0" fontId="7" fillId="0" borderId="17" xfId="1" applyFont="1" applyFill="1" applyBorder="1" applyAlignment="1">
      <alignment vertical="center" wrapText="1"/>
    </xf>
    <xf numFmtId="2" fontId="8" fillId="0" borderId="17" xfId="0" applyNumberFormat="1" applyFont="1" applyFill="1" applyBorder="1" applyAlignment="1" applyProtection="1">
      <alignment horizontal="center" vertical="center"/>
      <protection locked="0"/>
    </xf>
    <xf numFmtId="2" fontId="7" fillId="0" borderId="17" xfId="2" applyNumberFormat="1" applyFont="1" applyFill="1" applyBorder="1" applyAlignment="1">
      <alignment horizontal="center" vertical="center"/>
    </xf>
    <xf numFmtId="0" fontId="7" fillId="0" borderId="17" xfId="1" applyFont="1" applyFill="1" applyBorder="1" applyAlignment="1">
      <alignment wrapText="1"/>
    </xf>
    <xf numFmtId="0" fontId="7" fillId="0" borderId="17" xfId="1" applyFont="1" applyFill="1" applyBorder="1" applyAlignment="1">
      <alignment horizontal="center"/>
    </xf>
    <xf numFmtId="0" fontId="7" fillId="0" borderId="29" xfId="1" applyFont="1" applyFill="1" applyBorder="1" applyAlignment="1">
      <alignment horizontal="center" vertical="center" wrapText="1"/>
    </xf>
    <xf numFmtId="2" fontId="7" fillId="0" borderId="29" xfId="1" applyNumberFormat="1" applyFont="1" applyFill="1" applyBorder="1" applyAlignment="1" applyProtection="1">
      <alignment horizontal="center" vertical="center" wrapText="1"/>
      <protection locked="0"/>
    </xf>
    <xf numFmtId="2" fontId="7" fillId="0" borderId="29" xfId="2" applyNumberFormat="1" applyFont="1" applyFill="1" applyBorder="1" applyAlignment="1" applyProtection="1">
      <alignment horizontal="center" vertical="center"/>
    </xf>
    <xf numFmtId="2" fontId="7" fillId="0" borderId="29" xfId="2" applyNumberFormat="1" applyFont="1" applyFill="1" applyBorder="1" applyAlignment="1">
      <alignment horizontal="center" vertical="center"/>
    </xf>
    <xf numFmtId="2" fontId="7" fillId="0" borderId="30" xfId="1" applyNumberFormat="1" applyFont="1" applyFill="1" applyBorder="1" applyAlignment="1">
      <alignment horizontal="center" vertical="center"/>
    </xf>
    <xf numFmtId="2" fontId="7" fillId="0" borderId="9" xfId="2" applyNumberFormat="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7" xfId="1" applyFont="1" applyFill="1" applyBorder="1" applyAlignment="1">
      <alignment horizontal="center" vertical="center" wrapText="1"/>
    </xf>
    <xf numFmtId="2" fontId="7" fillId="0" borderId="9" xfId="1" applyNumberFormat="1" applyFont="1" applyFill="1" applyBorder="1" applyAlignment="1">
      <alignment horizontal="center" vertical="center"/>
    </xf>
    <xf numFmtId="2" fontId="7" fillId="0" borderId="7" xfId="1" applyNumberFormat="1" applyFont="1" applyFill="1" applyBorder="1" applyAlignment="1">
      <alignment horizontal="center" vertical="center"/>
    </xf>
    <xf numFmtId="2" fontId="7" fillId="0" borderId="17" xfId="1" applyNumberFormat="1" applyFont="1" applyFill="1" applyBorder="1" applyAlignment="1">
      <alignment horizontal="center" vertical="center"/>
    </xf>
    <xf numFmtId="2" fontId="7" fillId="0" borderId="9" xfId="1" applyNumberFormat="1" applyFont="1" applyFill="1" applyBorder="1" applyAlignment="1" applyProtection="1">
      <alignment horizontal="center" vertical="center"/>
      <protection locked="0"/>
    </xf>
    <xf numFmtId="2" fontId="7" fillId="0" borderId="17" xfId="1" applyNumberFormat="1" applyFont="1" applyFill="1" applyBorder="1" applyAlignment="1" applyProtection="1">
      <alignment horizontal="center" vertical="center"/>
      <protection locked="0"/>
    </xf>
    <xf numFmtId="2" fontId="8" fillId="0" borderId="10" xfId="0" applyNumberFormat="1" applyFont="1" applyFill="1" applyBorder="1" applyAlignment="1">
      <alignment horizontal="center" vertical="center"/>
    </xf>
    <xf numFmtId="0" fontId="7" fillId="0" borderId="19" xfId="1" applyFont="1" applyFill="1" applyBorder="1" applyAlignment="1">
      <alignment horizontal="center" vertical="center" wrapText="1"/>
    </xf>
    <xf numFmtId="2" fontId="7" fillId="0" borderId="19" xfId="1" applyNumberFormat="1" applyFont="1" applyFill="1" applyBorder="1" applyAlignment="1">
      <alignment horizontal="center" vertical="center"/>
    </xf>
    <xf numFmtId="2" fontId="7" fillId="0" borderId="19" xfId="1" applyNumberFormat="1" applyFont="1" applyFill="1" applyBorder="1" applyAlignment="1" applyProtection="1">
      <alignment horizontal="center" vertical="center"/>
      <protection locked="0"/>
    </xf>
    <xf numFmtId="2" fontId="4" fillId="0" borderId="9"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4" fontId="6" fillId="0" borderId="34" xfId="0" applyNumberFormat="1" applyFont="1" applyBorder="1" applyAlignment="1">
      <alignment horizontal="center" vertical="center"/>
    </xf>
    <xf numFmtId="0" fontId="7" fillId="0" borderId="7" xfId="1" applyFont="1" applyFill="1" applyBorder="1" applyAlignment="1">
      <alignment horizontal="center" vertical="center"/>
    </xf>
    <xf numFmtId="0" fontId="4" fillId="0" borderId="7" xfId="0" applyFont="1" applyBorder="1" applyAlignment="1">
      <alignment horizontal="center" vertical="center"/>
    </xf>
    <xf numFmtId="0" fontId="7" fillId="0" borderId="22" xfId="1" applyFont="1" applyFill="1" applyBorder="1" applyAlignment="1">
      <alignment horizontal="center" vertical="center" wrapText="1"/>
    </xf>
    <xf numFmtId="2" fontId="7" fillId="0" borderId="22" xfId="1" applyNumberFormat="1" applyFont="1" applyFill="1" applyBorder="1" applyAlignment="1">
      <alignment horizontal="center" vertical="center"/>
    </xf>
    <xf numFmtId="4" fontId="6" fillId="0" borderId="19" xfId="0" applyNumberFormat="1" applyFont="1" applyBorder="1" applyAlignment="1">
      <alignment horizontal="center" vertical="center"/>
    </xf>
    <xf numFmtId="0" fontId="7" fillId="0" borderId="9"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9" xfId="1" applyFont="1" applyFill="1" applyBorder="1" applyAlignment="1">
      <alignment horizontal="center" vertical="center"/>
    </xf>
    <xf numFmtId="0" fontId="7" fillId="0" borderId="17" xfId="1" applyFont="1" applyFill="1" applyBorder="1" applyAlignment="1">
      <alignment horizontal="center" vertical="center"/>
    </xf>
    <xf numFmtId="2" fontId="8" fillId="0" borderId="33" xfId="0" applyNumberFormat="1" applyFont="1" applyFill="1" applyBorder="1" applyAlignment="1">
      <alignment horizontal="center" vertical="center"/>
    </xf>
    <xf numFmtId="0" fontId="4" fillId="0" borderId="7" xfId="0" applyFont="1" applyBorder="1" applyAlignment="1">
      <alignment horizontal="left" vertical="center" wrapText="1"/>
    </xf>
    <xf numFmtId="0" fontId="15" fillId="0" borderId="0" xfId="0" applyFont="1" applyAlignment="1">
      <alignment horizontal="center" vertical="center"/>
    </xf>
    <xf numFmtId="4" fontId="6" fillId="0" borderId="7" xfId="0" applyNumberFormat="1" applyFont="1" applyBorder="1" applyAlignment="1">
      <alignment horizontal="center" vertical="center"/>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4" fillId="0" borderId="41" xfId="0" applyFont="1" applyFill="1" applyBorder="1" applyAlignment="1">
      <alignment horizontal="left" vertical="center" wrapText="1"/>
    </xf>
    <xf numFmtId="164" fontId="7" fillId="0" borderId="29" xfId="1" applyNumberFormat="1" applyFont="1" applyFill="1" applyBorder="1" applyAlignment="1" applyProtection="1">
      <alignment horizontal="center" vertical="center"/>
      <protection locked="0"/>
    </xf>
    <xf numFmtId="164" fontId="8" fillId="0" borderId="9" xfId="0" applyNumberFormat="1" applyFont="1" applyFill="1" applyBorder="1" applyAlignment="1" applyProtection="1">
      <alignment horizontal="center" vertical="center"/>
      <protection locked="0"/>
    </xf>
    <xf numFmtId="4" fontId="9" fillId="0" borderId="19" xfId="0" applyNumberFormat="1" applyFont="1" applyBorder="1" applyAlignment="1">
      <alignment vertical="center" wrapText="1"/>
    </xf>
    <xf numFmtId="2" fontId="7" fillId="0" borderId="34" xfId="1" applyNumberFormat="1" applyFont="1" applyFill="1" applyBorder="1" applyAlignment="1">
      <alignment horizontal="center" vertical="center"/>
    </xf>
    <xf numFmtId="2" fontId="7" fillId="0" borderId="29" xfId="1" applyNumberFormat="1" applyFont="1" applyFill="1" applyBorder="1" applyAlignment="1">
      <alignment horizontal="center" vertical="center" wrapText="1"/>
    </xf>
    <xf numFmtId="0" fontId="7" fillId="0" borderId="23" xfId="1" applyFont="1" applyFill="1" applyBorder="1" applyAlignment="1">
      <alignment horizontal="center" vertical="center" wrapText="1"/>
    </xf>
    <xf numFmtId="2" fontId="7" fillId="0" borderId="23" xfId="1" applyNumberFormat="1" applyFont="1" applyFill="1" applyBorder="1" applyAlignment="1">
      <alignment horizontal="center" vertical="center"/>
    </xf>
    <xf numFmtId="0" fontId="7" fillId="0" borderId="23" xfId="1" applyFont="1" applyFill="1" applyBorder="1" applyAlignment="1">
      <alignment vertical="center" wrapText="1"/>
    </xf>
    <xf numFmtId="2" fontId="7" fillId="0" borderId="23" xfId="1" applyNumberFormat="1" applyFont="1" applyFill="1" applyBorder="1" applyAlignment="1" applyProtection="1">
      <alignment horizontal="center" vertical="center"/>
      <protection locked="0"/>
    </xf>
    <xf numFmtId="0" fontId="7" fillId="0" borderId="29" xfId="1" applyFont="1" applyFill="1" applyBorder="1" applyAlignment="1" applyProtection="1">
      <alignment horizontal="center" vertical="center"/>
      <protection locked="0"/>
    </xf>
    <xf numFmtId="0" fontId="7" fillId="0" borderId="0" xfId="1" applyFont="1" applyFill="1" applyBorder="1" applyAlignment="1">
      <alignment horizontal="left" vertical="center" wrapText="1"/>
    </xf>
    <xf numFmtId="0" fontId="15" fillId="0" borderId="0" xfId="0" applyFont="1" applyAlignment="1">
      <alignment vertical="center"/>
    </xf>
    <xf numFmtId="0" fontId="18" fillId="0" borderId="0" xfId="0" applyFont="1" applyAlignment="1">
      <alignment horizontal="center" vertical="center"/>
    </xf>
    <xf numFmtId="0" fontId="15" fillId="0" borderId="0" xfId="0" applyFont="1" applyBorder="1" applyAlignment="1">
      <alignment horizontal="center" vertical="center"/>
    </xf>
    <xf numFmtId="0" fontId="7" fillId="0" borderId="29" xfId="2" applyFont="1" applyFill="1" applyBorder="1" applyAlignment="1">
      <alignment horizontal="left" vertical="center" wrapText="1"/>
    </xf>
    <xf numFmtId="0" fontId="7" fillId="0" borderId="29" xfId="2" applyFont="1" applyFill="1" applyBorder="1" applyAlignment="1">
      <alignment horizontal="center" vertical="center" wrapText="1"/>
    </xf>
    <xf numFmtId="2" fontId="7" fillId="0" borderId="29" xfId="2" applyNumberFormat="1" applyFont="1" applyFill="1" applyBorder="1" applyAlignment="1" applyProtection="1">
      <alignment horizontal="center" vertical="center"/>
      <protection locked="0"/>
    </xf>
    <xf numFmtId="0" fontId="7" fillId="0" borderId="29" xfId="2" applyFont="1" applyFill="1" applyBorder="1" applyAlignment="1">
      <alignment horizontal="center" vertical="center"/>
    </xf>
    <xf numFmtId="164" fontId="8" fillId="0" borderId="29" xfId="0" applyNumberFormat="1" applyFont="1" applyFill="1" applyBorder="1" applyAlignment="1" applyProtection="1">
      <alignment horizontal="center" vertical="center"/>
      <protection locked="0"/>
    </xf>
    <xf numFmtId="0" fontId="7" fillId="0" borderId="0" xfId="1" applyFont="1" applyFill="1" applyBorder="1" applyAlignment="1">
      <alignment horizontal="center" vertical="center"/>
    </xf>
    <xf numFmtId="2" fontId="7" fillId="0" borderId="0" xfId="1" applyNumberFormat="1" applyFont="1" applyFill="1" applyBorder="1" applyAlignment="1" applyProtection="1">
      <alignment horizontal="center" vertical="center"/>
      <protection locked="0"/>
    </xf>
    <xf numFmtId="0" fontId="7" fillId="0" borderId="31" xfId="1" applyFont="1" applyFill="1" applyBorder="1" applyAlignment="1">
      <alignment vertical="center" wrapText="1"/>
    </xf>
    <xf numFmtId="0" fontId="7" fillId="0" borderId="31" xfId="1" applyFont="1" applyFill="1" applyBorder="1" applyAlignment="1">
      <alignment horizontal="center" vertical="center" wrapText="1"/>
    </xf>
    <xf numFmtId="2" fontId="7" fillId="0" borderId="31" xfId="1" applyNumberFormat="1" applyFont="1" applyFill="1" applyBorder="1" applyAlignment="1">
      <alignment horizontal="center" vertical="center"/>
    </xf>
    <xf numFmtId="2" fontId="8" fillId="0" borderId="31" xfId="0" applyNumberFormat="1" applyFont="1" applyFill="1" applyBorder="1" applyAlignment="1" applyProtection="1">
      <alignment horizontal="center" vertical="center"/>
      <protection locked="0"/>
    </xf>
    <xf numFmtId="2" fontId="7" fillId="0" borderId="0" xfId="2" applyNumberFormat="1" applyFont="1" applyFill="1" applyBorder="1" applyAlignment="1" applyProtection="1">
      <alignment horizontal="center" vertical="center"/>
    </xf>
    <xf numFmtId="2" fontId="7" fillId="0" borderId="0" xfId="2" applyNumberFormat="1"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0" fontId="7" fillId="0" borderId="31" xfId="1" applyFont="1" applyFill="1" applyBorder="1" applyAlignment="1">
      <alignment horizontal="left" vertical="center" wrapText="1"/>
    </xf>
    <xf numFmtId="2" fontId="7" fillId="0" borderId="31" xfId="1" applyNumberFormat="1" applyFont="1" applyFill="1" applyBorder="1" applyAlignment="1" applyProtection="1">
      <alignment horizontal="center" vertical="center"/>
      <protection locked="0"/>
    </xf>
    <xf numFmtId="2" fontId="7" fillId="0" borderId="0" xfId="1" applyNumberFormat="1" applyFont="1" applyFill="1" applyBorder="1" applyAlignment="1" applyProtection="1">
      <alignment horizontal="center" vertical="center" wrapText="1"/>
      <protection locked="0"/>
    </xf>
    <xf numFmtId="0" fontId="7" fillId="0" borderId="16" xfId="1" applyFont="1" applyFill="1" applyBorder="1" applyAlignment="1">
      <alignment horizontal="center" vertical="center"/>
    </xf>
    <xf numFmtId="2" fontId="7" fillId="0" borderId="4" xfId="1" applyNumberFormat="1" applyFont="1" applyFill="1" applyBorder="1" applyAlignment="1">
      <alignment horizontal="center" vertical="center"/>
    </xf>
    <xf numFmtId="4" fontId="10" fillId="0" borderId="12" xfId="0" applyNumberFormat="1" applyFont="1" applyBorder="1" applyAlignment="1">
      <alignment horizontal="center" vertical="center"/>
    </xf>
    <xf numFmtId="0" fontId="7" fillId="0" borderId="46" xfId="1" applyFont="1" applyFill="1" applyBorder="1" applyAlignment="1">
      <alignment horizontal="center" vertical="center"/>
    </xf>
    <xf numFmtId="2" fontId="8" fillId="0" borderId="4" xfId="0" applyNumberFormat="1" applyFont="1" applyFill="1" applyBorder="1" applyAlignment="1">
      <alignment horizontal="center" vertical="center"/>
    </xf>
    <xf numFmtId="0" fontId="6" fillId="0" borderId="0" xfId="0" applyFont="1" applyAlignment="1">
      <alignment horizontal="center" vertical="center"/>
    </xf>
    <xf numFmtId="2" fontId="7" fillId="0" borderId="2" xfId="2" applyNumberFormat="1" applyFont="1" applyFill="1" applyBorder="1" applyAlignment="1" applyProtection="1">
      <alignment horizontal="center" vertical="center"/>
    </xf>
    <xf numFmtId="4" fontId="10" fillId="0" borderId="2" xfId="0" applyNumberFormat="1" applyFont="1" applyBorder="1" applyAlignment="1">
      <alignment horizontal="center" vertical="center"/>
    </xf>
    <xf numFmtId="2" fontId="7" fillId="0" borderId="2" xfId="1" applyNumberFormat="1" applyFont="1" applyFill="1" applyBorder="1" applyAlignment="1">
      <alignment horizontal="center" vertical="center"/>
    </xf>
    <xf numFmtId="2" fontId="7" fillId="0" borderId="2" xfId="2" applyNumberFormat="1" applyFont="1" applyFill="1" applyBorder="1" applyAlignment="1">
      <alignment horizontal="center" vertical="center"/>
    </xf>
    <xf numFmtId="4" fontId="6" fillId="0" borderId="2" xfId="0" applyNumberFormat="1" applyFont="1" applyBorder="1" applyAlignment="1">
      <alignment horizontal="center" vertical="center"/>
    </xf>
    <xf numFmtId="2" fontId="8" fillId="0" borderId="2" xfId="0" applyNumberFormat="1" applyFont="1" applyFill="1" applyBorder="1" applyAlignment="1">
      <alignment horizontal="center" vertical="center"/>
    </xf>
    <xf numFmtId="0" fontId="9" fillId="2" borderId="20" xfId="0" applyFont="1" applyFill="1" applyBorder="1" applyAlignment="1">
      <alignment horizontal="center" vertical="center"/>
    </xf>
    <xf numFmtId="2" fontId="8" fillId="2" borderId="47"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15" fillId="0" borderId="2" xfId="0" applyFont="1" applyBorder="1" applyAlignment="1">
      <alignment vertical="center"/>
    </xf>
    <xf numFmtId="0" fontId="9" fillId="0" borderId="17" xfId="0" applyFont="1" applyBorder="1" applyAlignment="1">
      <alignment horizontal="center" vertical="center"/>
    </xf>
    <xf numFmtId="0" fontId="4" fillId="0" borderId="24" xfId="0" applyFont="1" applyBorder="1" applyAlignment="1">
      <alignment horizontal="center" vertical="center" wrapText="1"/>
    </xf>
    <xf numFmtId="0" fontId="4" fillId="0" borderId="54" xfId="0" applyFont="1" applyBorder="1" applyAlignment="1">
      <alignment horizontal="center" vertical="center"/>
    </xf>
    <xf numFmtId="0" fontId="4" fillId="0" borderId="54" xfId="0" applyFont="1" applyBorder="1" applyAlignment="1">
      <alignment horizontal="center" vertical="center" wrapText="1"/>
    </xf>
    <xf numFmtId="0" fontId="4" fillId="0" borderId="3"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xf>
    <xf numFmtId="2" fontId="8" fillId="2" borderId="2" xfId="0" applyNumberFormat="1" applyFont="1" applyFill="1" applyBorder="1" applyAlignment="1">
      <alignment horizontal="center" vertical="center"/>
    </xf>
    <xf numFmtId="2" fontId="18" fillId="0" borderId="2" xfId="0" applyNumberFormat="1" applyFont="1" applyBorder="1" applyAlignment="1">
      <alignment horizontal="center" vertical="center"/>
    </xf>
    <xf numFmtId="2" fontId="19" fillId="0" borderId="2" xfId="0" applyNumberFormat="1" applyFont="1" applyBorder="1" applyAlignment="1">
      <alignment horizontal="center" vertical="center"/>
    </xf>
    <xf numFmtId="0" fontId="15"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22" fillId="0" borderId="55" xfId="0" applyFont="1" applyBorder="1" applyAlignment="1">
      <alignment horizontal="center" vertical="center"/>
    </xf>
    <xf numFmtId="0" fontId="23" fillId="5" borderId="55" xfId="0" applyFont="1" applyFill="1" applyBorder="1" applyAlignment="1">
      <alignment horizontal="center" vertical="center"/>
    </xf>
    <xf numFmtId="0" fontId="23" fillId="3" borderId="55" xfId="0" applyFont="1" applyFill="1" applyBorder="1" applyAlignment="1">
      <alignment horizontal="center" vertical="center" wrapText="1"/>
    </xf>
    <xf numFmtId="0" fontId="23" fillId="6" borderId="55"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7" borderId="55" xfId="0" applyFont="1" applyFill="1" applyBorder="1" applyAlignment="1">
      <alignment horizontal="center" vertical="center" wrapText="1"/>
    </xf>
    <xf numFmtId="0" fontId="22" fillId="8" borderId="55" xfId="0" applyFont="1" applyFill="1" applyBorder="1" applyAlignment="1">
      <alignment horizontal="center" vertical="center" wrapText="1"/>
    </xf>
    <xf numFmtId="0" fontId="27" fillId="9" borderId="55" xfId="0" applyFont="1" applyFill="1" applyBorder="1" applyAlignment="1">
      <alignment horizontal="center" vertical="center" wrapText="1"/>
    </xf>
    <xf numFmtId="0" fontId="0" fillId="0" borderId="55" xfId="0" applyBorder="1" applyAlignment="1">
      <alignment vertical="center"/>
    </xf>
    <xf numFmtId="0" fontId="23" fillId="0" borderId="55" xfId="0" applyFont="1" applyBorder="1" applyAlignment="1">
      <alignment horizontal="center" vertical="center"/>
    </xf>
    <xf numFmtId="0" fontId="0" fillId="10" borderId="55" xfId="0" applyFill="1" applyBorder="1" applyAlignment="1">
      <alignment horizontal="left"/>
    </xf>
    <xf numFmtId="165" fontId="0" fillId="5" borderId="55" xfId="0" applyNumberFormat="1" applyFill="1" applyBorder="1"/>
    <xf numFmtId="165" fontId="0" fillId="3" borderId="55" xfId="0" applyNumberFormat="1" applyFill="1" applyBorder="1"/>
    <xf numFmtId="165" fontId="0" fillId="6" borderId="55" xfId="0" applyNumberFormat="1" applyFill="1" applyBorder="1"/>
    <xf numFmtId="165" fontId="0" fillId="4" borderId="55" xfId="0" applyNumberFormat="1" applyFill="1" applyBorder="1"/>
    <xf numFmtId="165" fontId="0" fillId="7" borderId="55" xfId="0" applyNumberFormat="1" applyFill="1" applyBorder="1"/>
    <xf numFmtId="165" fontId="0" fillId="8" borderId="55" xfId="0" applyNumberFormat="1" applyFill="1" applyBorder="1"/>
    <xf numFmtId="165" fontId="29" fillId="9" borderId="55" xfId="0" applyNumberFormat="1" applyFont="1" applyFill="1" applyBorder="1"/>
    <xf numFmtId="2" fontId="0" fillId="0" borderId="55" xfId="0" applyNumberFormat="1" applyBorder="1"/>
    <xf numFmtId="0" fontId="0" fillId="11" borderId="55" xfId="0" applyFill="1" applyBorder="1" applyAlignment="1">
      <alignment horizontal="left"/>
    </xf>
    <xf numFmtId="0" fontId="0" fillId="0" borderId="55" xfId="0" applyBorder="1"/>
    <xf numFmtId="0" fontId="31" fillId="0" borderId="55" xfId="0" applyFont="1" applyBorder="1" applyAlignment="1">
      <alignment horizontal="right"/>
    </xf>
    <xf numFmtId="0" fontId="32" fillId="5" borderId="55" xfId="0" applyFont="1" applyFill="1" applyBorder="1"/>
    <xf numFmtId="0" fontId="32" fillId="3" borderId="55" xfId="0" applyFont="1" applyFill="1" applyBorder="1"/>
    <xf numFmtId="0" fontId="32" fillId="6" borderId="55" xfId="0" applyFont="1" applyFill="1" applyBorder="1"/>
    <xf numFmtId="0" fontId="32" fillId="4" borderId="55" xfId="0" applyFont="1" applyFill="1" applyBorder="1"/>
    <xf numFmtId="2" fontId="31" fillId="7" borderId="55" xfId="0" applyNumberFormat="1" applyFont="1" applyFill="1" applyBorder="1"/>
    <xf numFmtId="2" fontId="31" fillId="8" borderId="55" xfId="0" applyNumberFormat="1" applyFont="1" applyFill="1" applyBorder="1"/>
    <xf numFmtId="2" fontId="22" fillId="8" borderId="55" xfId="0" applyNumberFormat="1" applyFont="1" applyFill="1" applyBorder="1"/>
    <xf numFmtId="2" fontId="33" fillId="9" borderId="55" xfId="0" applyNumberFormat="1" applyFont="1" applyFill="1" applyBorder="1"/>
    <xf numFmtId="2" fontId="22" fillId="0" borderId="55" xfId="0" applyNumberFormat="1" applyFont="1" applyBorder="1"/>
    <xf numFmtId="0" fontId="9"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4" fontId="10" fillId="0" borderId="0" xfId="0" applyNumberFormat="1" applyFont="1" applyBorder="1" applyAlignment="1">
      <alignment horizontal="center" vertical="center"/>
    </xf>
    <xf numFmtId="2" fontId="7" fillId="0" borderId="0" xfId="0" applyNumberFormat="1" applyFont="1" applyFill="1" applyBorder="1" applyAlignment="1">
      <alignment horizontal="center" vertical="center"/>
    </xf>
    <xf numFmtId="0" fontId="15" fillId="0" borderId="0" xfId="0" applyFont="1" applyBorder="1" applyAlignment="1">
      <alignment vertical="center"/>
    </xf>
    <xf numFmtId="0" fontId="14" fillId="0" borderId="0" xfId="2" applyFont="1" applyFill="1" applyBorder="1" applyAlignment="1">
      <alignment horizontal="center"/>
    </xf>
    <xf numFmtId="0" fontId="14"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9" fillId="0" borderId="0" xfId="0" applyFont="1" applyAlignment="1">
      <alignment horizontal="right" vertical="center"/>
    </xf>
    <xf numFmtId="0" fontId="19" fillId="2" borderId="0" xfId="0" applyFont="1" applyFill="1" applyAlignment="1">
      <alignment horizontal="center" vertical="center"/>
    </xf>
    <xf numFmtId="0" fontId="4" fillId="0" borderId="0" xfId="0" applyFont="1" applyAlignment="1">
      <alignment horizontal="center" vertical="center"/>
    </xf>
    <xf numFmtId="0" fontId="21" fillId="0" borderId="0" xfId="0" applyFont="1" applyAlignment="1">
      <alignment horizontal="left" vertical="center"/>
    </xf>
    <xf numFmtId="0" fontId="6" fillId="0" borderId="0" xfId="0" applyFont="1" applyAlignment="1">
      <alignment horizontal="left" vertical="center"/>
    </xf>
    <xf numFmtId="0" fontId="4" fillId="2" borderId="2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4" fillId="0" borderId="1" xfId="1" applyFont="1" applyFill="1" applyBorder="1" applyAlignment="1">
      <alignment horizontal="right" vertical="center"/>
    </xf>
    <xf numFmtId="0" fontId="14" fillId="0" borderId="6" xfId="1" applyFont="1" applyFill="1" applyBorder="1" applyAlignment="1">
      <alignment horizontal="right" vertical="center"/>
    </xf>
    <xf numFmtId="0" fontId="14" fillId="0" borderId="50" xfId="1" applyFont="1" applyFill="1" applyBorder="1" applyAlignment="1">
      <alignment horizontal="right" vertical="center"/>
    </xf>
    <xf numFmtId="0" fontId="14" fillId="0" borderId="51" xfId="1" applyFont="1" applyFill="1" applyBorder="1" applyAlignment="1">
      <alignment horizontal="right" vertical="center"/>
    </xf>
    <xf numFmtId="0" fontId="14" fillId="0" borderId="5" xfId="1" applyFont="1" applyFill="1" applyBorder="1" applyAlignment="1">
      <alignment horizontal="right" vertical="center"/>
    </xf>
    <xf numFmtId="0" fontId="7" fillId="0" borderId="0" xfId="1" applyFont="1" applyFill="1" applyBorder="1" applyAlignment="1">
      <alignment horizontal="right" vertical="center" wrapText="1"/>
    </xf>
    <xf numFmtId="0" fontId="19" fillId="0" borderId="4" xfId="0" applyFont="1" applyBorder="1" applyAlignment="1">
      <alignment horizontal="right" vertical="center"/>
    </xf>
    <xf numFmtId="0" fontId="14" fillId="0" borderId="1" xfId="1" applyFont="1" applyFill="1" applyBorder="1" applyAlignment="1">
      <alignment horizontal="right" vertical="center" wrapText="1"/>
    </xf>
    <xf numFmtId="0" fontId="14" fillId="0" borderId="6" xfId="1" applyFont="1" applyFill="1" applyBorder="1" applyAlignment="1">
      <alignment horizontal="right" vertical="center" wrapText="1"/>
    </xf>
    <xf numFmtId="0" fontId="14" fillId="0" borderId="5" xfId="1" applyFont="1" applyFill="1" applyBorder="1" applyAlignment="1">
      <alignment horizontal="right" vertical="center" wrapText="1"/>
    </xf>
    <xf numFmtId="0" fontId="14" fillId="0" borderId="50" xfId="1" applyFont="1" applyFill="1" applyBorder="1" applyAlignment="1">
      <alignment horizontal="right" vertical="center" wrapText="1"/>
    </xf>
    <xf numFmtId="0" fontId="14" fillId="0" borderId="51" xfId="1" applyFont="1" applyFill="1" applyBorder="1" applyAlignment="1">
      <alignment horizontal="right" vertical="center" wrapText="1"/>
    </xf>
    <xf numFmtId="0" fontId="14" fillId="0" borderId="52" xfId="1" applyFont="1" applyFill="1" applyBorder="1" applyAlignment="1">
      <alignment horizontal="right" vertical="center" wrapText="1"/>
    </xf>
    <xf numFmtId="0" fontId="9" fillId="0" borderId="1" xfId="0" applyFont="1" applyBorder="1" applyAlignment="1">
      <alignment horizontal="right" vertical="center" wrapText="1"/>
    </xf>
    <xf numFmtId="0" fontId="9" fillId="0" borderId="6" xfId="0" applyFont="1" applyBorder="1" applyAlignment="1">
      <alignment horizontal="right" vertical="center" wrapText="1"/>
    </xf>
    <xf numFmtId="0" fontId="9" fillId="0" borderId="5" xfId="0" applyFont="1" applyBorder="1" applyAlignment="1">
      <alignment horizontal="right" vertical="center" wrapText="1"/>
    </xf>
    <xf numFmtId="0" fontId="10" fillId="0" borderId="0" xfId="0" applyFont="1" applyBorder="1" applyAlignment="1">
      <alignment horizontal="right" vertical="center"/>
    </xf>
    <xf numFmtId="0" fontId="10" fillId="0" borderId="4" xfId="0" applyFont="1" applyBorder="1" applyAlignment="1">
      <alignment horizontal="right" vertical="center"/>
    </xf>
    <xf numFmtId="0" fontId="14" fillId="0" borderId="15" xfId="1" applyFont="1" applyFill="1" applyBorder="1" applyAlignment="1">
      <alignment horizontal="right" vertical="center" wrapText="1"/>
    </xf>
    <xf numFmtId="0" fontId="14" fillId="0" borderId="53" xfId="1" applyFont="1" applyFill="1" applyBorder="1" applyAlignment="1">
      <alignment horizontal="right" vertical="center" wrapText="1"/>
    </xf>
    <xf numFmtId="0" fontId="14" fillId="0" borderId="0" xfId="1" applyFont="1" applyFill="1" applyBorder="1" applyAlignment="1">
      <alignment horizontal="right" vertical="center" wrapText="1"/>
    </xf>
    <xf numFmtId="0" fontId="14" fillId="0" borderId="4" xfId="1"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4" xfId="0" applyFont="1" applyBorder="1" applyAlignment="1">
      <alignment horizontal="right" vertical="center" wrapText="1"/>
    </xf>
    <xf numFmtId="0" fontId="14" fillId="2" borderId="4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9" fillId="0" borderId="48" xfId="0" applyFont="1" applyBorder="1" applyAlignment="1">
      <alignment horizontal="right" vertical="center"/>
    </xf>
    <xf numFmtId="0" fontId="9" fillId="0" borderId="15" xfId="0" applyFont="1" applyBorder="1" applyAlignment="1">
      <alignment horizontal="right" vertical="center"/>
    </xf>
    <xf numFmtId="0" fontId="7" fillId="0" borderId="32" xfId="1" applyFont="1" applyFill="1" applyBorder="1" applyAlignment="1">
      <alignment horizontal="left" vertical="center" wrapText="1"/>
    </xf>
    <xf numFmtId="0" fontId="7" fillId="0" borderId="23" xfId="1" applyFont="1" applyFill="1" applyBorder="1" applyAlignment="1">
      <alignment horizontal="left" vertical="center" wrapText="1"/>
    </xf>
    <xf numFmtId="0" fontId="7" fillId="0" borderId="34" xfId="1" applyFont="1" applyFill="1" applyBorder="1" applyAlignment="1">
      <alignment horizontal="left" vertical="center" wrapText="1"/>
    </xf>
    <xf numFmtId="0" fontId="7" fillId="0" borderId="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7" xfId="1" applyFont="1" applyFill="1" applyBorder="1" applyAlignment="1">
      <alignment horizontal="center" vertical="center" wrapText="1"/>
    </xf>
    <xf numFmtId="2" fontId="7" fillId="0" borderId="9" xfId="1" applyNumberFormat="1" applyFont="1" applyFill="1" applyBorder="1" applyAlignment="1">
      <alignment horizontal="center" vertical="center"/>
    </xf>
    <xf numFmtId="2" fontId="7" fillId="0" borderId="7" xfId="1" applyNumberFormat="1" applyFont="1" applyFill="1" applyBorder="1" applyAlignment="1">
      <alignment horizontal="center" vertical="center"/>
    </xf>
    <xf numFmtId="2" fontId="7" fillId="0" borderId="17" xfId="1" applyNumberFormat="1" applyFont="1" applyFill="1" applyBorder="1" applyAlignment="1">
      <alignment horizontal="center" vertical="center"/>
    </xf>
    <xf numFmtId="2" fontId="7" fillId="0" borderId="9" xfId="1" applyNumberFormat="1" applyFont="1" applyFill="1" applyBorder="1" applyAlignment="1" applyProtection="1">
      <alignment horizontal="center" vertical="center"/>
      <protection locked="0"/>
    </xf>
    <xf numFmtId="2" fontId="7" fillId="0" borderId="7" xfId="1" applyNumberFormat="1" applyFont="1" applyFill="1" applyBorder="1" applyAlignment="1" applyProtection="1">
      <alignment horizontal="center" vertical="center"/>
      <protection locked="0"/>
    </xf>
    <xf numFmtId="2" fontId="7" fillId="0" borderId="17" xfId="1" applyNumberFormat="1" applyFont="1" applyFill="1" applyBorder="1" applyAlignment="1" applyProtection="1">
      <alignment horizontal="center" vertical="center"/>
      <protection locked="0"/>
    </xf>
    <xf numFmtId="0" fontId="11" fillId="0" borderId="8"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3" xfId="1" applyFont="1" applyFill="1" applyBorder="1" applyAlignment="1">
      <alignment horizontal="center" vertical="center"/>
    </xf>
    <xf numFmtId="2" fontId="12" fillId="0" borderId="33" xfId="0" applyNumberFormat="1" applyFont="1" applyFill="1" applyBorder="1" applyAlignment="1">
      <alignment horizontal="center" vertical="center"/>
    </xf>
    <xf numFmtId="2" fontId="12" fillId="0" borderId="36" xfId="0" applyNumberFormat="1" applyFont="1" applyFill="1" applyBorder="1" applyAlignment="1">
      <alignment horizontal="center" vertical="center"/>
    </xf>
    <xf numFmtId="2" fontId="12" fillId="0" borderId="35" xfId="0" applyNumberFormat="1" applyFont="1" applyFill="1" applyBorder="1" applyAlignment="1">
      <alignment horizontal="center" vertical="center"/>
    </xf>
    <xf numFmtId="2" fontId="8" fillId="0" borderId="33" xfId="0" applyNumberFormat="1" applyFont="1" applyFill="1" applyBorder="1" applyAlignment="1">
      <alignment horizontal="center" vertical="center"/>
    </xf>
    <xf numFmtId="2" fontId="8" fillId="0" borderId="36" xfId="0" applyNumberFormat="1" applyFont="1" applyFill="1" applyBorder="1" applyAlignment="1">
      <alignment horizontal="center" vertical="center"/>
    </xf>
    <xf numFmtId="2" fontId="8" fillId="0" borderId="35" xfId="0" applyNumberFormat="1" applyFont="1" applyFill="1" applyBorder="1" applyAlignment="1">
      <alignment horizontal="center" vertical="center"/>
    </xf>
    <xf numFmtId="0" fontId="7" fillId="0" borderId="9"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20" fillId="0" borderId="16" xfId="0" applyFont="1" applyBorder="1" applyAlignment="1">
      <alignment horizontal="right" vertical="center"/>
    </xf>
    <xf numFmtId="0" fontId="20" fillId="0" borderId="0" xfId="0" applyFont="1" applyBorder="1" applyAlignment="1">
      <alignment horizontal="right" vertical="center"/>
    </xf>
    <xf numFmtId="0" fontId="20" fillId="0" borderId="4" xfId="0" applyFont="1" applyBorder="1" applyAlignment="1">
      <alignment horizontal="right" vertical="center"/>
    </xf>
    <xf numFmtId="0" fontId="7" fillId="0" borderId="8"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17" xfId="1" applyFont="1" applyFill="1" applyBorder="1" applyAlignment="1">
      <alignment horizontal="center" vertical="center"/>
    </xf>
    <xf numFmtId="0" fontId="9" fillId="0" borderId="37" xfId="0" applyFont="1" applyBorder="1" applyAlignment="1">
      <alignment horizontal="right" vertical="center" wrapText="1"/>
    </xf>
    <xf numFmtId="0" fontId="9" fillId="0" borderId="19" xfId="0" applyFont="1" applyBorder="1" applyAlignment="1">
      <alignment horizontal="right" vertical="center" wrapText="1"/>
    </xf>
    <xf numFmtId="0" fontId="7" fillId="0" borderId="38" xfId="1" applyFont="1" applyFill="1" applyBorder="1" applyAlignment="1">
      <alignment horizontal="center" vertical="center"/>
    </xf>
    <xf numFmtId="0" fontId="7" fillId="0" borderId="40" xfId="1" applyFont="1" applyFill="1" applyBorder="1" applyAlignment="1">
      <alignment horizontal="center" vertical="center"/>
    </xf>
    <xf numFmtId="164" fontId="7" fillId="0" borderId="9" xfId="1" applyNumberFormat="1" applyFont="1" applyFill="1" applyBorder="1" applyAlignment="1" applyProtection="1">
      <alignment horizontal="center" vertical="center"/>
      <protection locked="0"/>
    </xf>
    <xf numFmtId="164" fontId="7" fillId="0" borderId="17" xfId="1" applyNumberFormat="1" applyFont="1" applyFill="1" applyBorder="1" applyAlignment="1" applyProtection="1">
      <alignment horizontal="center" vertical="center"/>
      <protection locked="0"/>
    </xf>
    <xf numFmtId="2" fontId="7" fillId="0" borderId="32" xfId="1" applyNumberFormat="1" applyFont="1" applyFill="1" applyBorder="1" applyAlignment="1">
      <alignment horizontal="center" vertical="center"/>
    </xf>
    <xf numFmtId="2" fontId="7" fillId="0" borderId="34" xfId="1" applyNumberFormat="1" applyFont="1" applyFill="1" applyBorder="1" applyAlignment="1">
      <alignment horizontal="center" vertical="center"/>
    </xf>
    <xf numFmtId="2" fontId="7" fillId="0" borderId="32" xfId="1" applyNumberFormat="1" applyFont="1" applyFill="1" applyBorder="1" applyAlignment="1" applyProtection="1">
      <alignment horizontal="center" vertical="center"/>
      <protection locked="0"/>
    </xf>
    <xf numFmtId="2" fontId="7" fillId="0" borderId="34" xfId="1" applyNumberFormat="1" applyFont="1" applyFill="1" applyBorder="1" applyAlignment="1" applyProtection="1">
      <alignment horizontal="center" vertical="center"/>
      <protection locked="0"/>
    </xf>
    <xf numFmtId="0" fontId="7" fillId="0" borderId="32" xfId="1" applyFont="1" applyFill="1" applyBorder="1" applyAlignment="1">
      <alignment horizontal="center" vertical="center" wrapText="1"/>
    </xf>
    <xf numFmtId="0" fontId="7" fillId="0" borderId="34" xfId="1" applyFont="1" applyFill="1" applyBorder="1" applyAlignment="1">
      <alignment horizontal="center" vertical="center" wrapText="1"/>
    </xf>
    <xf numFmtId="4" fontId="6" fillId="0" borderId="33"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35" xfId="0" applyNumberFormat="1" applyFont="1" applyBorder="1" applyAlignment="1">
      <alignment horizontal="center"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2" fontId="4" fillId="0" borderId="9"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4" fontId="6" fillId="0" borderId="32"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34" xfId="0" applyNumberFormat="1" applyFont="1" applyBorder="1" applyAlignment="1">
      <alignment horizontal="center" vertical="center"/>
    </xf>
    <xf numFmtId="0" fontId="7" fillId="0" borderId="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7"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9" xfId="0" applyNumberFormat="1" applyFont="1" applyFill="1" applyBorder="1" applyAlignment="1" applyProtection="1">
      <alignment horizontal="center" vertical="center" wrapText="1"/>
      <protection locked="0"/>
    </xf>
    <xf numFmtId="2" fontId="7" fillId="0" borderId="17" xfId="0" applyNumberFormat="1" applyFont="1" applyFill="1" applyBorder="1" applyAlignment="1" applyProtection="1">
      <alignment horizontal="center" vertical="center" wrapText="1"/>
      <protection locked="0"/>
    </xf>
    <xf numFmtId="0" fontId="4" fillId="0" borderId="32" xfId="0" applyFont="1" applyBorder="1" applyAlignment="1">
      <alignment horizontal="left" vertical="center" wrapText="1"/>
    </xf>
    <xf numFmtId="0" fontId="4" fillId="0" borderId="23" xfId="0" applyFont="1" applyBorder="1" applyAlignment="1">
      <alignment horizontal="left" vertical="center" wrapText="1"/>
    </xf>
    <xf numFmtId="0" fontId="4" fillId="0" borderId="34" xfId="0" applyFont="1" applyBorder="1" applyAlignment="1">
      <alignment horizontal="left" vertical="center" wrapText="1"/>
    </xf>
    <xf numFmtId="0" fontId="7" fillId="0" borderId="39" xfId="1"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7" xfId="0" applyFont="1" applyBorder="1" applyAlignment="1">
      <alignment horizontal="center" vertical="center" shrinkToFit="1"/>
    </xf>
    <xf numFmtId="0" fontId="9" fillId="0" borderId="17"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2" fontId="4" fillId="0" borderId="22"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34" xfId="0" applyNumberFormat="1" applyFont="1" applyBorder="1" applyAlignment="1">
      <alignment horizontal="center" vertical="center"/>
    </xf>
    <xf numFmtId="2" fontId="4" fillId="0" borderId="22"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34" xfId="0" applyNumberFormat="1" applyFont="1" applyBorder="1" applyAlignment="1">
      <alignment horizontal="center" vertical="center" wrapText="1"/>
    </xf>
    <xf numFmtId="2" fontId="8" fillId="0" borderId="10"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164" fontId="7" fillId="0" borderId="7" xfId="1" applyNumberFormat="1" applyFont="1" applyFill="1" applyBorder="1" applyAlignment="1" applyProtection="1">
      <alignment horizontal="center" vertical="center"/>
      <protection locked="0"/>
    </xf>
    <xf numFmtId="0" fontId="9" fillId="0" borderId="49" xfId="0" applyFont="1" applyBorder="1" applyAlignment="1">
      <alignment horizontal="right" vertical="center"/>
    </xf>
    <xf numFmtId="0" fontId="9" fillId="0" borderId="21" xfId="0" applyFont="1" applyBorder="1" applyAlignment="1">
      <alignment horizontal="right" vertical="center"/>
    </xf>
    <xf numFmtId="4" fontId="6" fillId="0" borderId="9" xfId="0" applyNumberFormat="1" applyFont="1" applyBorder="1" applyAlignment="1">
      <alignment horizontal="center" vertical="center"/>
    </xf>
    <xf numFmtId="4" fontId="6" fillId="0" borderId="22"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4" fillId="2" borderId="16" xfId="2" applyFont="1" applyFill="1" applyBorder="1" applyAlignment="1">
      <alignment horizontal="center"/>
    </xf>
    <xf numFmtId="0" fontId="14" fillId="2" borderId="0" xfId="2" applyFont="1" applyFill="1" applyBorder="1" applyAlignment="1">
      <alignment horizontal="center"/>
    </xf>
    <xf numFmtId="0" fontId="14" fillId="2" borderId="4" xfId="2" applyFont="1" applyFill="1" applyBorder="1" applyAlignment="1">
      <alignment horizont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5" xfId="0" applyFont="1" applyBorder="1" applyAlignment="1">
      <alignment horizontal="center" vertical="center" wrapText="1"/>
    </xf>
    <xf numFmtId="2" fontId="4" fillId="0" borderId="32" xfId="0" applyNumberFormat="1" applyFont="1" applyBorder="1" applyAlignment="1">
      <alignment horizontal="center" vertical="center"/>
    </xf>
    <xf numFmtId="2" fontId="4" fillId="0" borderId="32" xfId="0" applyNumberFormat="1" applyFont="1" applyBorder="1" applyAlignment="1">
      <alignment horizontal="center" vertical="center" wrapText="1"/>
    </xf>
    <xf numFmtId="2" fontId="7" fillId="0" borderId="9" xfId="0" applyNumberFormat="1" applyFont="1" applyFill="1" applyBorder="1" applyAlignment="1">
      <alignment horizontal="center" vertical="center"/>
    </xf>
    <xf numFmtId="2" fontId="7" fillId="0" borderId="7" xfId="0" applyNumberFormat="1" applyFont="1" applyFill="1" applyBorder="1" applyAlignment="1">
      <alignment horizontal="center" vertical="center"/>
    </xf>
    <xf numFmtId="2" fontId="7" fillId="0" borderId="17" xfId="0" applyNumberFormat="1" applyFont="1" applyFill="1" applyBorder="1" applyAlignment="1">
      <alignment horizontal="center" vertical="center"/>
    </xf>
    <xf numFmtId="2" fontId="7" fillId="0" borderId="9" xfId="0" applyNumberFormat="1" applyFont="1" applyFill="1" applyBorder="1" applyAlignment="1" applyProtection="1">
      <alignment horizontal="center" vertical="center"/>
      <protection locked="0"/>
    </xf>
    <xf numFmtId="2" fontId="7" fillId="0" borderId="7" xfId="0" applyNumberFormat="1" applyFont="1" applyFill="1" applyBorder="1" applyAlignment="1" applyProtection="1">
      <alignment horizontal="center" vertical="center"/>
      <protection locked="0"/>
    </xf>
    <xf numFmtId="2" fontId="7" fillId="0" borderId="17" xfId="0" applyNumberFormat="1" applyFont="1" applyFill="1" applyBorder="1" applyAlignment="1" applyProtection="1">
      <alignment horizontal="center" vertical="center"/>
      <protection locked="0"/>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wrapText="1"/>
    </xf>
    <xf numFmtId="2" fontId="7" fillId="0" borderId="19" xfId="1" applyNumberFormat="1" applyFont="1" applyFill="1" applyBorder="1" applyAlignment="1">
      <alignment horizontal="center" vertical="center"/>
    </xf>
    <xf numFmtId="2" fontId="7" fillId="0" borderId="19" xfId="1" applyNumberFormat="1" applyFont="1" applyFill="1" applyBorder="1" applyAlignment="1" applyProtection="1">
      <alignment horizontal="center" vertical="center"/>
      <protection locked="0"/>
    </xf>
    <xf numFmtId="2" fontId="8" fillId="0" borderId="20" xfId="0" applyNumberFormat="1" applyFont="1" applyFill="1" applyBorder="1" applyAlignment="1">
      <alignment horizontal="center" vertical="center"/>
    </xf>
    <xf numFmtId="0" fontId="17" fillId="0" borderId="40" xfId="0" applyFont="1" applyBorder="1" applyAlignment="1">
      <alignment horizontal="center" vertical="center"/>
    </xf>
    <xf numFmtId="0" fontId="17" fillId="0" borderId="34" xfId="0" applyFont="1" applyBorder="1" applyAlignment="1">
      <alignment horizontal="left" vertical="center" wrapText="1"/>
    </xf>
    <xf numFmtId="0" fontId="17" fillId="0" borderId="34" xfId="0" applyFont="1" applyBorder="1" applyAlignment="1">
      <alignment horizontal="center" vertical="center" wrapText="1"/>
    </xf>
    <xf numFmtId="2" fontId="7" fillId="0" borderId="32" xfId="1" applyNumberFormat="1" applyFont="1" applyFill="1" applyBorder="1" applyAlignment="1">
      <alignment horizontal="center" vertical="center" wrapText="1"/>
    </xf>
    <xf numFmtId="2" fontId="7" fillId="0" borderId="34" xfId="1" applyNumberFormat="1" applyFont="1" applyFill="1" applyBorder="1" applyAlignment="1">
      <alignment horizontal="center" vertical="center" wrapText="1"/>
    </xf>
    <xf numFmtId="2" fontId="7" fillId="0" borderId="32" xfId="1" applyNumberFormat="1" applyFont="1" applyFill="1" applyBorder="1" applyAlignment="1" applyProtection="1">
      <alignment horizontal="center" vertical="center" wrapText="1"/>
      <protection locked="0"/>
    </xf>
    <xf numFmtId="2" fontId="7" fillId="0" borderId="34" xfId="1" applyNumberFormat="1" applyFont="1" applyFill="1" applyBorder="1" applyAlignment="1" applyProtection="1">
      <alignment horizontal="center" vertical="center" wrapText="1"/>
      <protection locked="0"/>
    </xf>
    <xf numFmtId="2" fontId="7" fillId="0" borderId="33" xfId="0" applyNumberFormat="1" applyFont="1" applyFill="1" applyBorder="1" applyAlignment="1">
      <alignment horizontal="center" vertical="center"/>
    </xf>
    <xf numFmtId="2" fontId="7" fillId="0" borderId="35" xfId="0" applyNumberFormat="1" applyFont="1" applyFill="1" applyBorder="1" applyAlignment="1">
      <alignment horizontal="center" vertical="center"/>
    </xf>
    <xf numFmtId="0" fontId="7" fillId="0" borderId="23" xfId="1" applyFont="1" applyFill="1" applyBorder="1" applyAlignment="1">
      <alignment horizontal="center" vertical="center" wrapText="1"/>
    </xf>
    <xf numFmtId="2" fontId="7" fillId="0" borderId="23" xfId="1" applyNumberFormat="1" applyFont="1" applyFill="1" applyBorder="1" applyAlignment="1">
      <alignment horizontal="center" vertical="center"/>
    </xf>
    <xf numFmtId="2" fontId="7" fillId="0" borderId="23" xfId="1" applyNumberFormat="1" applyFont="1" applyFill="1" applyBorder="1" applyAlignment="1" applyProtection="1">
      <alignment horizontal="center" vertical="center"/>
      <protection locked="0"/>
    </xf>
    <xf numFmtId="0" fontId="0" fillId="3" borderId="55" xfId="0" applyFont="1" applyFill="1" applyBorder="1" applyAlignment="1">
      <alignment horizontal="center"/>
    </xf>
    <xf numFmtId="0" fontId="22" fillId="4" borderId="55" xfId="0" applyFont="1" applyFill="1" applyBorder="1" applyAlignment="1">
      <alignment horizontal="center"/>
    </xf>
    <xf numFmtId="0" fontId="15" fillId="0" borderId="0" xfId="0" applyFont="1" applyAlignment="1">
      <alignment horizontal="right" vertical="center"/>
    </xf>
  </cellXfs>
  <cellStyles count="4">
    <cellStyle name="Normal_Золотая смета" xfId="1"/>
    <cellStyle name="Style 1" xfId="3"/>
    <cellStyle name="Обычный" xfId="0" builtinId="0"/>
    <cellStyle name="Обычный_Каменецкая Ирина (Введенского)"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1"/>
  <sheetViews>
    <sheetView tabSelected="1" zoomScaleNormal="100" zoomScaleSheetLayoutView="115" workbookViewId="0">
      <pane ySplit="16" topLeftCell="A98" activePane="bottomLeft" state="frozen"/>
      <selection pane="bottomLeft" activeCell="N457" sqref="N457"/>
    </sheetView>
  </sheetViews>
  <sheetFormatPr defaultColWidth="9.109375" defaultRowHeight="12" outlineLevelRow="1" x14ac:dyDescent="0.3"/>
  <cols>
    <col min="1" max="1" width="3.5546875" style="1" customWidth="1"/>
    <col min="2" max="2" width="41.109375" style="2" customWidth="1"/>
    <col min="3" max="3" width="5.88671875" style="1" customWidth="1"/>
    <col min="4" max="4" width="6.6640625" style="1" customWidth="1"/>
    <col min="5" max="5" width="10.5546875" style="1" customWidth="1"/>
    <col min="6" max="6" width="9.109375" style="1" customWidth="1"/>
    <col min="7" max="7" width="25.5546875" style="1" customWidth="1"/>
    <col min="8" max="8" width="5.5546875" style="1" customWidth="1"/>
    <col min="9" max="9" width="9.5546875" style="1" customWidth="1"/>
    <col min="10" max="10" width="10" style="1" customWidth="1"/>
    <col min="11" max="11" width="10.5546875" style="1" customWidth="1"/>
    <col min="12" max="12" width="12" style="1" customWidth="1"/>
    <col min="13" max="13" width="2" style="171" customWidth="1"/>
    <col min="14" max="14" width="10.33203125" style="1" bestFit="1" customWidth="1"/>
    <col min="15" max="16384" width="9.109375" style="1"/>
  </cols>
  <sheetData>
    <row r="1" spans="1:29" x14ac:dyDescent="0.3">
      <c r="A1" s="330"/>
      <c r="B1" s="330"/>
      <c r="C1" s="330"/>
      <c r="D1" s="330"/>
      <c r="E1" s="330"/>
      <c r="F1" s="330"/>
      <c r="G1" s="330"/>
      <c r="H1" s="330"/>
      <c r="I1" s="330"/>
      <c r="J1" s="330"/>
      <c r="K1" s="330"/>
      <c r="L1" s="330"/>
      <c r="M1" s="169"/>
    </row>
    <row r="2" spans="1:29" ht="3" customHeight="1" x14ac:dyDescent="0.3">
      <c r="A2" s="331"/>
      <c r="B2" s="331"/>
      <c r="C2" s="331"/>
      <c r="D2" s="331"/>
      <c r="E2" s="331"/>
      <c r="F2" s="331"/>
      <c r="G2" s="331"/>
      <c r="H2" s="331"/>
      <c r="I2" s="331"/>
      <c r="J2" s="331"/>
      <c r="K2" s="331"/>
      <c r="L2" s="331"/>
      <c r="M2" s="170"/>
    </row>
    <row r="3" spans="1:29" ht="14.4" x14ac:dyDescent="0.3">
      <c r="A3" s="217" t="s">
        <v>456</v>
      </c>
      <c r="B3" s="217"/>
      <c r="C3" s="217"/>
      <c r="D3" s="217"/>
      <c r="E3" s="217"/>
      <c r="F3" s="217"/>
      <c r="G3" s="147"/>
      <c r="H3" s="147"/>
      <c r="I3" s="147"/>
      <c r="J3" s="147"/>
      <c r="K3" s="147"/>
      <c r="L3" s="147"/>
      <c r="M3" s="170"/>
      <c r="N3"/>
      <c r="O3"/>
      <c r="P3"/>
      <c r="Q3"/>
      <c r="R3" s="405" t="s">
        <v>462</v>
      </c>
      <c r="S3" s="405"/>
      <c r="T3"/>
      <c r="U3"/>
      <c r="V3" s="406" t="s">
        <v>463</v>
      </c>
      <c r="W3" s="406"/>
      <c r="X3"/>
      <c r="Y3"/>
      <c r="Z3"/>
      <c r="AA3"/>
      <c r="AB3"/>
      <c r="AC3"/>
    </row>
    <row r="4" spans="1:29" ht="30" x14ac:dyDescent="0.3">
      <c r="A4" s="218" t="s">
        <v>457</v>
      </c>
      <c r="B4" s="218"/>
      <c r="C4" s="218"/>
      <c r="D4" s="218"/>
      <c r="E4" s="218"/>
      <c r="F4" s="218"/>
      <c r="G4" s="147"/>
      <c r="H4" s="147"/>
      <c r="I4" s="147"/>
      <c r="J4" s="147"/>
      <c r="K4" s="147"/>
      <c r="L4" s="147"/>
      <c r="M4" s="170"/>
      <c r="N4" s="172" t="s">
        <v>464</v>
      </c>
      <c r="O4" s="173" t="s">
        <v>465</v>
      </c>
      <c r="P4" s="173" t="s">
        <v>466</v>
      </c>
      <c r="Q4" s="173" t="s">
        <v>467</v>
      </c>
      <c r="R4" s="174" t="s">
        <v>468</v>
      </c>
      <c r="S4" s="174" t="s">
        <v>469</v>
      </c>
      <c r="T4" s="175" t="s">
        <v>470</v>
      </c>
      <c r="U4" s="175" t="s">
        <v>471</v>
      </c>
      <c r="V4" s="176" t="s">
        <v>468</v>
      </c>
      <c r="W4" s="176" t="s">
        <v>469</v>
      </c>
      <c r="X4" s="177" t="s">
        <v>472</v>
      </c>
      <c r="Y4" s="178" t="s">
        <v>473</v>
      </c>
      <c r="Z4" s="178" t="s">
        <v>474</v>
      </c>
      <c r="AA4" s="179" t="s">
        <v>475</v>
      </c>
      <c r="AB4" s="180"/>
      <c r="AC4" s="181" t="s">
        <v>476</v>
      </c>
    </row>
    <row r="5" spans="1:29" ht="14.4" x14ac:dyDescent="0.3">
      <c r="A5" s="218" t="s">
        <v>458</v>
      </c>
      <c r="B5" s="218"/>
      <c r="C5" s="218"/>
      <c r="D5" s="218"/>
      <c r="E5" s="218"/>
      <c r="F5" s="218"/>
      <c r="G5" s="147"/>
      <c r="H5" s="147"/>
      <c r="I5" s="147"/>
      <c r="J5" s="147"/>
      <c r="K5" s="147"/>
      <c r="L5" s="147"/>
      <c r="M5" s="170"/>
      <c r="N5" s="182"/>
      <c r="O5" s="183"/>
      <c r="P5" s="183"/>
      <c r="Q5" s="183"/>
      <c r="R5" s="184"/>
      <c r="S5" s="184"/>
      <c r="T5" s="185"/>
      <c r="U5" s="185"/>
      <c r="V5" s="186"/>
      <c r="W5" s="186"/>
      <c r="X5" s="187">
        <f t="shared" ref="X5:X13" si="0">O5*P5</f>
        <v>0</v>
      </c>
      <c r="Y5" s="188">
        <f t="shared" ref="Y5:Y12" si="1">(O5+P5)*2</f>
        <v>0</v>
      </c>
      <c r="Z5" s="188">
        <f t="shared" ref="Z5:Z13" si="2">Y5-S5</f>
        <v>0</v>
      </c>
      <c r="AA5" s="189">
        <f t="shared" ref="AA5:AA13" si="3">Y5*Q5-(R5*S5)-(T5*U5)-(V5*W5)</f>
        <v>0</v>
      </c>
      <c r="AB5" s="190">
        <f t="shared" ref="AB5:AB13" si="4">N5</f>
        <v>0</v>
      </c>
      <c r="AC5" s="190">
        <f t="shared" ref="AC5:AC12" si="5">T5*2+U5+V5*2+W5</f>
        <v>0</v>
      </c>
    </row>
    <row r="6" spans="1:29" ht="14.4" x14ac:dyDescent="0.3">
      <c r="A6" s="147"/>
      <c r="B6" s="147"/>
      <c r="C6" s="147"/>
      <c r="D6" s="147"/>
      <c r="E6" s="147"/>
      <c r="F6" s="147"/>
      <c r="G6" s="147"/>
      <c r="H6" s="147"/>
      <c r="I6" s="147"/>
      <c r="J6" s="147"/>
      <c r="K6" s="147"/>
      <c r="L6" s="147"/>
      <c r="M6" s="170"/>
      <c r="N6" s="191" t="s">
        <v>477</v>
      </c>
      <c r="O6" s="183">
        <v>6.5</v>
      </c>
      <c r="P6" s="183">
        <v>2.8</v>
      </c>
      <c r="Q6" s="183">
        <v>2.64</v>
      </c>
      <c r="R6" s="184">
        <v>2.1</v>
      </c>
      <c r="S6" s="184">
        <v>0.9</v>
      </c>
      <c r="T6" s="185">
        <v>2.64</v>
      </c>
      <c r="U6" s="185">
        <v>2.8</v>
      </c>
      <c r="V6" s="184"/>
      <c r="W6" s="184"/>
      <c r="X6" s="187">
        <f t="shared" si="0"/>
        <v>18.2</v>
      </c>
      <c r="Y6" s="188">
        <f t="shared" si="1"/>
        <v>18.600000000000001</v>
      </c>
      <c r="Z6" s="188">
        <f t="shared" si="2"/>
        <v>17.700000000000003</v>
      </c>
      <c r="AA6" s="189">
        <f t="shared" si="3"/>
        <v>39.822000000000003</v>
      </c>
      <c r="AB6" s="190" t="str">
        <f t="shared" si="4"/>
        <v>Комната 1</v>
      </c>
      <c r="AC6" s="190">
        <f t="shared" si="5"/>
        <v>8.08</v>
      </c>
    </row>
    <row r="7" spans="1:29" ht="14.4" x14ac:dyDescent="0.3">
      <c r="A7" s="218" t="s">
        <v>459</v>
      </c>
      <c r="B7" s="218"/>
      <c r="C7" s="147"/>
      <c r="D7" s="147"/>
      <c r="E7" s="147"/>
      <c r="F7" s="147"/>
      <c r="G7" s="147"/>
      <c r="H7" s="147"/>
      <c r="I7" s="147"/>
      <c r="J7" s="147"/>
      <c r="K7" s="147"/>
      <c r="L7" s="147"/>
      <c r="M7" s="170"/>
      <c r="N7" s="191" t="s">
        <v>478</v>
      </c>
      <c r="O7" s="183">
        <v>4</v>
      </c>
      <c r="P7" s="183">
        <v>2.9</v>
      </c>
      <c r="Q7" s="183">
        <v>2.64</v>
      </c>
      <c r="R7" s="184">
        <v>2.64</v>
      </c>
      <c r="S7" s="184">
        <v>4</v>
      </c>
      <c r="T7" s="185">
        <v>1.4</v>
      </c>
      <c r="U7" s="185">
        <v>1.78</v>
      </c>
      <c r="V7" s="186"/>
      <c r="W7" s="186"/>
      <c r="X7" s="187">
        <f t="shared" si="0"/>
        <v>11.6</v>
      </c>
      <c r="Y7" s="188">
        <f t="shared" si="1"/>
        <v>13.8</v>
      </c>
      <c r="Z7" s="188">
        <f t="shared" si="2"/>
        <v>9.8000000000000007</v>
      </c>
      <c r="AA7" s="189">
        <f t="shared" si="3"/>
        <v>23.38</v>
      </c>
      <c r="AB7" s="190" t="str">
        <f t="shared" si="4"/>
        <v>Комната 2</v>
      </c>
      <c r="AC7" s="190">
        <f t="shared" si="5"/>
        <v>4.58</v>
      </c>
    </row>
    <row r="8" spans="1:29" ht="14.4" x14ac:dyDescent="0.3">
      <c r="A8" s="218" t="s">
        <v>460</v>
      </c>
      <c r="B8" s="218"/>
      <c r="C8" s="147"/>
      <c r="D8" s="147"/>
      <c r="E8" s="147"/>
      <c r="F8" s="147"/>
      <c r="G8" s="147"/>
      <c r="H8" s="147"/>
      <c r="I8" s="147"/>
      <c r="J8" s="147"/>
      <c r="K8" s="147"/>
      <c r="L8" s="147"/>
      <c r="M8" s="170"/>
      <c r="N8" s="191" t="s">
        <v>479</v>
      </c>
      <c r="O8" s="183">
        <v>5</v>
      </c>
      <c r="P8" s="183">
        <v>3.18</v>
      </c>
      <c r="Q8" s="183">
        <v>2.64</v>
      </c>
      <c r="R8" s="184">
        <v>6</v>
      </c>
      <c r="S8" s="184">
        <v>2.6</v>
      </c>
      <c r="T8" s="185">
        <v>2.64</v>
      </c>
      <c r="U8" s="185">
        <v>4</v>
      </c>
      <c r="V8" s="186"/>
      <c r="W8" s="186"/>
      <c r="X8" s="187">
        <f t="shared" si="0"/>
        <v>15.9</v>
      </c>
      <c r="Y8" s="188">
        <f>(O8+P8)*2</f>
        <v>16.36</v>
      </c>
      <c r="Z8" s="188">
        <f t="shared" si="2"/>
        <v>13.76</v>
      </c>
      <c r="AA8" s="189">
        <f t="shared" si="3"/>
        <v>17.0304</v>
      </c>
      <c r="AB8" s="190" t="str">
        <f>N8</f>
        <v>Комната 3</v>
      </c>
      <c r="AC8" s="190">
        <f t="shared" si="5"/>
        <v>9.2800000000000011</v>
      </c>
    </row>
    <row r="9" spans="1:29" ht="14.4" x14ac:dyDescent="0.3">
      <c r="A9" s="218" t="s">
        <v>461</v>
      </c>
      <c r="B9" s="218"/>
      <c r="C9" s="147"/>
      <c r="D9" s="147"/>
      <c r="E9" s="147"/>
      <c r="F9" s="147"/>
      <c r="G9" s="147"/>
      <c r="H9" s="147"/>
      <c r="I9" s="147"/>
      <c r="J9" s="147"/>
      <c r="K9" s="147"/>
      <c r="L9" s="147"/>
      <c r="M9" s="170"/>
      <c r="N9" s="191" t="s">
        <v>480</v>
      </c>
      <c r="O9" s="183">
        <v>4.45</v>
      </c>
      <c r="P9" s="183">
        <v>3.2</v>
      </c>
      <c r="Q9" s="183">
        <v>2.64</v>
      </c>
      <c r="R9" s="184">
        <v>2.1</v>
      </c>
      <c r="S9" s="184">
        <v>0.8</v>
      </c>
      <c r="T9" s="185">
        <v>1.54</v>
      </c>
      <c r="U9" s="185">
        <v>3.2</v>
      </c>
      <c r="V9" s="186"/>
      <c r="W9" s="186"/>
      <c r="X9" s="187">
        <f t="shared" si="0"/>
        <v>14.240000000000002</v>
      </c>
      <c r="Y9" s="188">
        <f t="shared" si="1"/>
        <v>15.3</v>
      </c>
      <c r="Z9" s="188">
        <f t="shared" si="2"/>
        <v>14.5</v>
      </c>
      <c r="AA9" s="189">
        <f t="shared" si="3"/>
        <v>33.784000000000006</v>
      </c>
      <c r="AB9" s="190" t="str">
        <f t="shared" si="4"/>
        <v>Кухня</v>
      </c>
      <c r="AC9" s="190">
        <f t="shared" si="5"/>
        <v>6.28</v>
      </c>
    </row>
    <row r="10" spans="1:29" ht="3.6" customHeight="1" x14ac:dyDescent="0.3">
      <c r="A10" s="147"/>
      <c r="B10" s="147"/>
      <c r="C10" s="147"/>
      <c r="D10" s="147"/>
      <c r="E10" s="147"/>
      <c r="F10" s="147"/>
      <c r="G10" s="147"/>
      <c r="H10" s="147"/>
      <c r="I10" s="147"/>
      <c r="J10" s="147"/>
      <c r="K10" s="147"/>
      <c r="L10" s="147"/>
      <c r="M10" s="170"/>
      <c r="N10" s="182" t="s">
        <v>481</v>
      </c>
      <c r="O10" s="183"/>
      <c r="P10" s="183"/>
      <c r="Q10" s="183"/>
      <c r="R10" s="184"/>
      <c r="S10" s="184"/>
      <c r="T10" s="185"/>
      <c r="U10" s="185"/>
      <c r="V10" s="186"/>
      <c r="W10" s="186"/>
      <c r="X10" s="187">
        <f t="shared" si="0"/>
        <v>0</v>
      </c>
      <c r="Y10" s="188">
        <f t="shared" si="1"/>
        <v>0</v>
      </c>
      <c r="Z10" s="188">
        <f t="shared" si="2"/>
        <v>0</v>
      </c>
      <c r="AA10" s="189">
        <f t="shared" si="3"/>
        <v>0</v>
      </c>
      <c r="AB10" s="190" t="str">
        <f t="shared" si="4"/>
        <v xml:space="preserve">Коридор </v>
      </c>
      <c r="AC10" s="190">
        <f t="shared" si="5"/>
        <v>0</v>
      </c>
    </row>
    <row r="11" spans="1:29" ht="15" thickBot="1" x14ac:dyDescent="0.35">
      <c r="N11" s="191" t="s">
        <v>482</v>
      </c>
      <c r="O11" s="183">
        <v>2.6</v>
      </c>
      <c r="P11" s="183">
        <v>1.77</v>
      </c>
      <c r="Q11" s="183">
        <v>2.64</v>
      </c>
      <c r="R11" s="184">
        <v>2.1</v>
      </c>
      <c r="S11" s="184">
        <v>0.7</v>
      </c>
      <c r="T11" s="185"/>
      <c r="U11" s="185"/>
      <c r="V11" s="186"/>
      <c r="W11" s="186"/>
      <c r="X11" s="187">
        <f t="shared" si="0"/>
        <v>4.6020000000000003</v>
      </c>
      <c r="Y11" s="188">
        <f t="shared" si="1"/>
        <v>8.74</v>
      </c>
      <c r="Z11" s="188">
        <f t="shared" si="2"/>
        <v>8.0400000000000009</v>
      </c>
      <c r="AA11" s="189">
        <f t="shared" si="3"/>
        <v>21.603600000000004</v>
      </c>
      <c r="AB11" s="190" t="str">
        <f t="shared" si="4"/>
        <v>Ванная</v>
      </c>
      <c r="AC11" s="190">
        <f t="shared" si="5"/>
        <v>0</v>
      </c>
    </row>
    <row r="12" spans="1:29" ht="14.4" x14ac:dyDescent="0.3">
      <c r="A12" s="340" t="s">
        <v>0</v>
      </c>
      <c r="B12" s="343" t="s">
        <v>4</v>
      </c>
      <c r="C12" s="332" t="s">
        <v>7</v>
      </c>
      <c r="D12" s="332"/>
      <c r="E12" s="332"/>
      <c r="F12" s="332"/>
      <c r="G12" s="332" t="s">
        <v>8</v>
      </c>
      <c r="H12" s="332"/>
      <c r="I12" s="332"/>
      <c r="J12" s="332"/>
      <c r="K12" s="332"/>
      <c r="L12" s="335" t="s">
        <v>9</v>
      </c>
      <c r="M12" s="203"/>
      <c r="N12" s="182" t="s">
        <v>483</v>
      </c>
      <c r="O12" s="183"/>
      <c r="P12" s="183"/>
      <c r="Q12" s="183"/>
      <c r="R12" s="184"/>
      <c r="S12" s="184"/>
      <c r="T12" s="185"/>
      <c r="U12" s="185"/>
      <c r="V12" s="186"/>
      <c r="W12" s="186"/>
      <c r="X12" s="187">
        <f t="shared" si="0"/>
        <v>0</v>
      </c>
      <c r="Y12" s="188">
        <f t="shared" si="1"/>
        <v>0</v>
      </c>
      <c r="Z12" s="188">
        <f t="shared" si="2"/>
        <v>0</v>
      </c>
      <c r="AA12" s="189">
        <f t="shared" si="3"/>
        <v>0</v>
      </c>
      <c r="AB12" s="190" t="str">
        <f t="shared" si="4"/>
        <v>Санузел</v>
      </c>
      <c r="AC12" s="190">
        <f t="shared" si="5"/>
        <v>0</v>
      </c>
    </row>
    <row r="13" spans="1:29" ht="14.4" x14ac:dyDescent="0.3">
      <c r="A13" s="341"/>
      <c r="B13" s="344"/>
      <c r="C13" s="338" t="s">
        <v>5</v>
      </c>
      <c r="D13" s="333" t="s">
        <v>6</v>
      </c>
      <c r="E13" s="333" t="s">
        <v>1</v>
      </c>
      <c r="F13" s="333"/>
      <c r="G13" s="346" t="s">
        <v>10</v>
      </c>
      <c r="H13" s="338" t="s">
        <v>5</v>
      </c>
      <c r="I13" s="333" t="s">
        <v>6</v>
      </c>
      <c r="J13" s="333" t="s">
        <v>1</v>
      </c>
      <c r="K13" s="333"/>
      <c r="L13" s="336"/>
      <c r="M13" s="203"/>
      <c r="N13" s="182" t="s">
        <v>484</v>
      </c>
      <c r="O13" s="183"/>
      <c r="P13" s="183"/>
      <c r="Q13" s="183"/>
      <c r="R13" s="184"/>
      <c r="S13" s="184"/>
      <c r="T13" s="185"/>
      <c r="U13" s="185"/>
      <c r="V13" s="186"/>
      <c r="W13" s="186"/>
      <c r="X13" s="187">
        <f t="shared" si="0"/>
        <v>0</v>
      </c>
      <c r="Y13" s="188">
        <f>(O13+P13)*2-1.8</f>
        <v>-1.8</v>
      </c>
      <c r="Z13" s="188">
        <f t="shared" si="2"/>
        <v>-1.8</v>
      </c>
      <c r="AA13" s="189">
        <f t="shared" si="3"/>
        <v>0</v>
      </c>
      <c r="AB13" s="190" t="str">
        <f t="shared" si="4"/>
        <v>Лоджия</v>
      </c>
      <c r="AC13" s="192"/>
    </row>
    <row r="14" spans="1:29" ht="15" thickBot="1" x14ac:dyDescent="0.35">
      <c r="A14" s="342"/>
      <c r="B14" s="345"/>
      <c r="C14" s="339"/>
      <c r="D14" s="334"/>
      <c r="E14" s="158" t="s">
        <v>2</v>
      </c>
      <c r="F14" s="158" t="s">
        <v>3</v>
      </c>
      <c r="G14" s="347"/>
      <c r="H14" s="339"/>
      <c r="I14" s="334"/>
      <c r="J14" s="158" t="s">
        <v>2</v>
      </c>
      <c r="K14" s="158" t="s">
        <v>3</v>
      </c>
      <c r="L14" s="337"/>
      <c r="M14" s="203"/>
      <c r="N14" s="182"/>
      <c r="O14" s="183"/>
      <c r="P14" s="183"/>
      <c r="Q14" s="183"/>
      <c r="R14" s="184"/>
      <c r="S14" s="184"/>
      <c r="T14" s="185"/>
      <c r="U14" s="185"/>
      <c r="V14" s="186"/>
      <c r="W14" s="186"/>
      <c r="X14" s="187"/>
      <c r="Y14" s="188"/>
      <c r="Z14" s="188"/>
      <c r="AA14" s="189"/>
      <c r="AB14" s="192"/>
      <c r="AC14" s="192"/>
    </row>
    <row r="15" spans="1:29" ht="16.2" thickBot="1" x14ac:dyDescent="0.35">
      <c r="A15" s="163">
        <v>1</v>
      </c>
      <c r="B15" s="47">
        <v>2</v>
      </c>
      <c r="C15" s="43">
        <v>3</v>
      </c>
      <c r="D15" s="47">
        <v>4</v>
      </c>
      <c r="E15" s="43">
        <v>5</v>
      </c>
      <c r="F15" s="47">
        <v>6</v>
      </c>
      <c r="G15" s="43">
        <v>7</v>
      </c>
      <c r="H15" s="47">
        <v>8</v>
      </c>
      <c r="I15" s="43">
        <v>9</v>
      </c>
      <c r="J15" s="47">
        <v>10</v>
      </c>
      <c r="K15" s="43">
        <v>11</v>
      </c>
      <c r="L15" s="164">
        <v>12</v>
      </c>
      <c r="M15" s="135"/>
      <c r="N15" s="193" t="s">
        <v>485</v>
      </c>
      <c r="O15" s="194"/>
      <c r="P15" s="194"/>
      <c r="Q15" s="194"/>
      <c r="R15" s="195"/>
      <c r="S15" s="195"/>
      <c r="T15" s="196"/>
      <c r="U15" s="196"/>
      <c r="V15" s="197"/>
      <c r="W15" s="197"/>
      <c r="X15" s="198">
        <f>SUM(X5:X14)</f>
        <v>64.542000000000002</v>
      </c>
      <c r="Y15" s="199">
        <f>SUM(Y5:Y14)</f>
        <v>71</v>
      </c>
      <c r="Z15" s="200">
        <f>SUM(Z5:Z14)</f>
        <v>62.000000000000007</v>
      </c>
      <c r="AA15" s="201">
        <f>SUM(AA5:AA14)</f>
        <v>135.62</v>
      </c>
      <c r="AB15" s="192"/>
      <c r="AC15" s="202">
        <f>SUM(AC5:AC14)</f>
        <v>28.220000000000002</v>
      </c>
    </row>
    <row r="16" spans="1:29" ht="2.4" customHeight="1" thickBot="1" x14ac:dyDescent="0.35">
      <c r="A16" s="219"/>
      <c r="B16" s="220"/>
      <c r="C16" s="220"/>
      <c r="D16" s="220"/>
      <c r="E16" s="220"/>
      <c r="F16" s="220"/>
      <c r="G16" s="220"/>
      <c r="H16" s="220"/>
      <c r="I16" s="220"/>
      <c r="J16" s="220"/>
      <c r="K16" s="220"/>
      <c r="L16" s="221"/>
      <c r="M16" s="204"/>
      <c r="N16"/>
      <c r="O16"/>
      <c r="P16"/>
      <c r="Q16"/>
      <c r="R16"/>
      <c r="S16"/>
      <c r="T16"/>
      <c r="U16"/>
      <c r="V16"/>
      <c r="W16"/>
      <c r="X16"/>
      <c r="Y16"/>
      <c r="Z16"/>
      <c r="AA16"/>
      <c r="AB16"/>
      <c r="AC16"/>
    </row>
    <row r="17" spans="1:37" ht="6" customHeight="1" thickBot="1" x14ac:dyDescent="0.35">
      <c r="A17" s="159"/>
      <c r="B17" s="160"/>
      <c r="C17" s="161"/>
      <c r="D17" s="160"/>
      <c r="E17" s="161"/>
      <c r="F17" s="160"/>
      <c r="G17" s="161"/>
      <c r="H17" s="160"/>
      <c r="I17" s="161"/>
      <c r="J17" s="160"/>
      <c r="K17" s="161"/>
      <c r="L17" s="162"/>
      <c r="M17" s="135"/>
    </row>
    <row r="18" spans="1:37" s="4" customFormat="1" ht="12.6" thickBot="1" x14ac:dyDescent="0.3">
      <c r="A18" s="368" t="s">
        <v>438</v>
      </c>
      <c r="B18" s="369"/>
      <c r="C18" s="369"/>
      <c r="D18" s="369"/>
      <c r="E18" s="369"/>
      <c r="F18" s="369"/>
      <c r="G18" s="369"/>
      <c r="H18" s="369"/>
      <c r="I18" s="369"/>
      <c r="J18" s="369"/>
      <c r="K18" s="369"/>
      <c r="L18" s="370"/>
      <c r="M18" s="210"/>
      <c r="N18" s="3"/>
      <c r="O18" s="3"/>
      <c r="P18" s="3"/>
      <c r="Q18" s="3"/>
      <c r="R18" s="3"/>
      <c r="S18" s="3"/>
      <c r="T18" s="3"/>
      <c r="U18" s="3"/>
      <c r="V18" s="3"/>
      <c r="W18" s="3"/>
      <c r="X18" s="3"/>
      <c r="Y18" s="3"/>
      <c r="Z18" s="3"/>
      <c r="AA18" s="3"/>
      <c r="AB18" s="3"/>
      <c r="AC18" s="3"/>
      <c r="AD18" s="3"/>
      <c r="AE18" s="3"/>
      <c r="AF18" s="3"/>
      <c r="AG18" s="3"/>
      <c r="AH18" s="3"/>
      <c r="AI18" s="3"/>
      <c r="AJ18" s="3"/>
      <c r="AK18" s="3"/>
    </row>
    <row r="19" spans="1:37" s="4" customFormat="1" ht="13.5" customHeight="1" outlineLevel="1" thickBot="1" x14ac:dyDescent="0.3">
      <c r="A19" s="32">
        <v>1</v>
      </c>
      <c r="B19" s="33" t="s">
        <v>125</v>
      </c>
      <c r="C19" s="63" t="s">
        <v>12</v>
      </c>
      <c r="D19" s="35">
        <v>1</v>
      </c>
      <c r="E19" s="64">
        <v>150</v>
      </c>
      <c r="F19" s="65">
        <f t="shared" ref="F19:F22" si="6">E19*D19</f>
        <v>150</v>
      </c>
      <c r="G19" s="37" t="s">
        <v>124</v>
      </c>
      <c r="H19" s="63" t="s">
        <v>40</v>
      </c>
      <c r="I19" s="35">
        <f>D19*3</f>
        <v>3</v>
      </c>
      <c r="J19" s="36">
        <v>10</v>
      </c>
      <c r="K19" s="66">
        <f t="shared" ref="K19:K22" si="7">J19*I19</f>
        <v>30</v>
      </c>
      <c r="L19" s="67">
        <f t="shared" ref="L19:L50" si="8">SUM(K19,F19)</f>
        <v>180</v>
      </c>
      <c r="M19" s="25"/>
      <c r="N19" s="3"/>
      <c r="O19" s="3"/>
      <c r="P19" s="3"/>
      <c r="Q19" s="3"/>
      <c r="R19" s="3"/>
      <c r="S19" s="3"/>
      <c r="T19" s="3"/>
      <c r="U19" s="3"/>
      <c r="V19" s="3"/>
      <c r="W19" s="3"/>
      <c r="X19" s="3"/>
      <c r="Y19" s="3"/>
      <c r="Z19" s="3"/>
      <c r="AA19" s="3"/>
      <c r="AB19" s="3"/>
      <c r="AC19" s="3"/>
      <c r="AD19" s="3"/>
      <c r="AE19" s="3"/>
      <c r="AF19" s="3"/>
      <c r="AG19" s="3"/>
      <c r="AH19" s="3"/>
      <c r="AI19" s="3"/>
      <c r="AJ19" s="3"/>
      <c r="AK19" s="3"/>
    </row>
    <row r="20" spans="1:37" s="4" customFormat="1" ht="13.5" customHeight="1" outlineLevel="1" thickBot="1" x14ac:dyDescent="0.3">
      <c r="A20" s="32">
        <v>2</v>
      </c>
      <c r="B20" s="33" t="s">
        <v>313</v>
      </c>
      <c r="C20" s="63" t="s">
        <v>12</v>
      </c>
      <c r="D20" s="35">
        <v>1</v>
      </c>
      <c r="E20" s="64">
        <v>120</v>
      </c>
      <c r="F20" s="65">
        <f t="shared" si="6"/>
        <v>120</v>
      </c>
      <c r="G20" s="37" t="s">
        <v>124</v>
      </c>
      <c r="H20" s="63" t="s">
        <v>40</v>
      </c>
      <c r="I20" s="35">
        <f>D20*1.5</f>
        <v>1.5</v>
      </c>
      <c r="J20" s="36">
        <v>10</v>
      </c>
      <c r="K20" s="66">
        <f t="shared" si="7"/>
        <v>15</v>
      </c>
      <c r="L20" s="67">
        <f t="shared" si="8"/>
        <v>135</v>
      </c>
      <c r="M20" s="25"/>
      <c r="N20" s="3"/>
      <c r="O20" s="3"/>
      <c r="P20" s="3"/>
      <c r="Q20" s="3"/>
      <c r="R20" s="3"/>
      <c r="S20" s="3"/>
      <c r="T20" s="3"/>
      <c r="U20" s="3"/>
      <c r="V20" s="3"/>
      <c r="W20" s="3"/>
      <c r="X20" s="3"/>
      <c r="Y20" s="3"/>
      <c r="Z20" s="3"/>
      <c r="AA20" s="3"/>
      <c r="AB20" s="3"/>
      <c r="AC20" s="3"/>
      <c r="AD20" s="3"/>
      <c r="AE20" s="3"/>
      <c r="AF20" s="3"/>
      <c r="AG20" s="3"/>
      <c r="AH20" s="3"/>
      <c r="AI20" s="3"/>
      <c r="AJ20" s="3"/>
      <c r="AK20" s="3"/>
    </row>
    <row r="21" spans="1:37" s="4" customFormat="1" ht="13.5" customHeight="1" outlineLevel="1" thickBot="1" x14ac:dyDescent="0.3">
      <c r="A21" s="32">
        <v>3</v>
      </c>
      <c r="B21" s="33" t="s">
        <v>122</v>
      </c>
      <c r="C21" s="63" t="s">
        <v>12</v>
      </c>
      <c r="D21" s="35">
        <v>1</v>
      </c>
      <c r="E21" s="64">
        <v>180</v>
      </c>
      <c r="F21" s="65">
        <f t="shared" si="6"/>
        <v>180</v>
      </c>
      <c r="G21" s="37" t="s">
        <v>124</v>
      </c>
      <c r="H21" s="63" t="s">
        <v>40</v>
      </c>
      <c r="I21" s="35">
        <f>D21*2</f>
        <v>2</v>
      </c>
      <c r="J21" s="36">
        <v>10</v>
      </c>
      <c r="K21" s="66">
        <f t="shared" si="7"/>
        <v>20</v>
      </c>
      <c r="L21" s="67">
        <f t="shared" si="8"/>
        <v>200</v>
      </c>
      <c r="M21" s="25"/>
      <c r="N21" s="3"/>
      <c r="O21" s="3"/>
      <c r="P21" s="3"/>
      <c r="Q21" s="3"/>
      <c r="R21" s="3"/>
      <c r="S21" s="3"/>
      <c r="T21" s="3"/>
      <c r="U21" s="3"/>
      <c r="V21" s="3"/>
      <c r="W21" s="3"/>
      <c r="X21" s="3"/>
      <c r="Y21" s="3"/>
      <c r="Z21" s="3"/>
      <c r="AA21" s="3"/>
      <c r="AB21" s="3"/>
      <c r="AC21" s="3"/>
      <c r="AD21" s="3"/>
      <c r="AE21" s="3"/>
      <c r="AF21" s="3"/>
      <c r="AG21" s="3"/>
      <c r="AH21" s="3"/>
      <c r="AI21" s="3"/>
      <c r="AJ21" s="3"/>
      <c r="AK21" s="3"/>
    </row>
    <row r="22" spans="1:37" s="4" customFormat="1" ht="13.5" customHeight="1" outlineLevel="1" thickBot="1" x14ac:dyDescent="0.3">
      <c r="A22" s="32">
        <v>4</v>
      </c>
      <c r="B22" s="33" t="s">
        <v>123</v>
      </c>
      <c r="C22" s="63" t="s">
        <v>12</v>
      </c>
      <c r="D22" s="35">
        <v>1</v>
      </c>
      <c r="E22" s="64">
        <v>120</v>
      </c>
      <c r="F22" s="65">
        <f t="shared" si="6"/>
        <v>120</v>
      </c>
      <c r="G22" s="37" t="s">
        <v>124</v>
      </c>
      <c r="H22" s="63" t="s">
        <v>40</v>
      </c>
      <c r="I22" s="35">
        <f>D22*2</f>
        <v>2</v>
      </c>
      <c r="J22" s="36">
        <v>10</v>
      </c>
      <c r="K22" s="66">
        <f t="shared" si="7"/>
        <v>20</v>
      </c>
      <c r="L22" s="67">
        <f t="shared" si="8"/>
        <v>140</v>
      </c>
      <c r="M22" s="25"/>
      <c r="N22" s="3"/>
      <c r="O22" s="3"/>
      <c r="P22" s="3"/>
      <c r="Q22" s="3"/>
      <c r="R22" s="3"/>
      <c r="S22" s="3"/>
      <c r="T22" s="3"/>
      <c r="U22" s="3"/>
      <c r="V22" s="3"/>
      <c r="W22" s="3"/>
      <c r="X22" s="3"/>
      <c r="Y22" s="3"/>
      <c r="Z22" s="3"/>
      <c r="AA22" s="3"/>
      <c r="AB22" s="3"/>
      <c r="AC22" s="3"/>
      <c r="AD22" s="3"/>
      <c r="AE22" s="3"/>
      <c r="AF22" s="3"/>
      <c r="AG22" s="3"/>
      <c r="AH22" s="3"/>
      <c r="AI22" s="3"/>
      <c r="AJ22" s="3"/>
      <c r="AK22" s="3"/>
    </row>
    <row r="23" spans="1:37" s="4" customFormat="1" ht="13.5" customHeight="1" outlineLevel="1" thickBot="1" x14ac:dyDescent="0.3">
      <c r="A23" s="32">
        <v>5</v>
      </c>
      <c r="B23" s="33" t="s">
        <v>286</v>
      </c>
      <c r="C23" s="63" t="s">
        <v>12</v>
      </c>
      <c r="D23" s="35">
        <v>1</v>
      </c>
      <c r="E23" s="64">
        <v>120</v>
      </c>
      <c r="F23" s="65">
        <f t="shared" ref="F23:F50" si="9">E23*D23</f>
        <v>120</v>
      </c>
      <c r="G23" s="37" t="s">
        <v>124</v>
      </c>
      <c r="H23" s="63" t="s">
        <v>40</v>
      </c>
      <c r="I23" s="35">
        <f>D23*1.5</f>
        <v>1.5</v>
      </c>
      <c r="J23" s="36">
        <v>10</v>
      </c>
      <c r="K23" s="66">
        <f t="shared" ref="K23:K50" si="10">J23*I23</f>
        <v>15</v>
      </c>
      <c r="L23" s="67">
        <f t="shared" si="8"/>
        <v>135</v>
      </c>
      <c r="M23" s="25"/>
      <c r="N23" s="3"/>
      <c r="O23" s="3"/>
      <c r="P23" s="3"/>
      <c r="Q23" s="3"/>
      <c r="R23" s="3"/>
      <c r="S23" s="3"/>
      <c r="T23" s="3"/>
      <c r="U23" s="3"/>
      <c r="V23" s="3"/>
      <c r="W23" s="3"/>
      <c r="X23" s="3"/>
      <c r="Y23" s="3"/>
      <c r="Z23" s="3"/>
      <c r="AA23" s="3"/>
      <c r="AB23" s="3"/>
      <c r="AC23" s="3"/>
      <c r="AD23" s="3"/>
      <c r="AE23" s="3"/>
      <c r="AF23" s="3"/>
      <c r="AG23" s="3"/>
      <c r="AH23" s="3"/>
      <c r="AI23" s="3"/>
      <c r="AJ23" s="3"/>
      <c r="AK23" s="3"/>
    </row>
    <row r="24" spans="1:37" s="4" customFormat="1" ht="13.5" customHeight="1" outlineLevel="1" thickBot="1" x14ac:dyDescent="0.3">
      <c r="A24" s="32">
        <v>6</v>
      </c>
      <c r="B24" s="33" t="s">
        <v>287</v>
      </c>
      <c r="C24" s="63" t="s">
        <v>12</v>
      </c>
      <c r="D24" s="35">
        <v>1</v>
      </c>
      <c r="E24" s="64">
        <v>250</v>
      </c>
      <c r="F24" s="65">
        <f t="shared" si="9"/>
        <v>250</v>
      </c>
      <c r="G24" s="37" t="s">
        <v>124</v>
      </c>
      <c r="H24" s="63" t="s">
        <v>40</v>
      </c>
      <c r="I24" s="35">
        <f t="shared" ref="I24:I50" si="11">D24*2</f>
        <v>2</v>
      </c>
      <c r="J24" s="36">
        <v>10</v>
      </c>
      <c r="K24" s="66">
        <f t="shared" si="10"/>
        <v>20</v>
      </c>
      <c r="L24" s="67">
        <f t="shared" si="8"/>
        <v>270</v>
      </c>
      <c r="M24" s="25"/>
      <c r="N24" s="3"/>
      <c r="O24" s="3"/>
      <c r="P24" s="3"/>
      <c r="Q24" s="3"/>
      <c r="R24" s="3"/>
      <c r="S24" s="3"/>
      <c r="T24" s="3"/>
      <c r="U24" s="3"/>
      <c r="V24" s="3"/>
      <c r="W24" s="3"/>
      <c r="X24" s="3"/>
      <c r="Y24" s="3"/>
      <c r="Z24" s="3"/>
      <c r="AA24" s="3"/>
      <c r="AB24" s="3"/>
      <c r="AC24" s="3"/>
      <c r="AD24" s="3"/>
      <c r="AE24" s="3"/>
      <c r="AF24" s="3"/>
      <c r="AG24" s="3"/>
      <c r="AH24" s="3"/>
      <c r="AI24" s="3"/>
      <c r="AJ24" s="3"/>
      <c r="AK24" s="3"/>
    </row>
    <row r="25" spans="1:37" s="4" customFormat="1" ht="13.5" customHeight="1" outlineLevel="1" thickBot="1" x14ac:dyDescent="0.3">
      <c r="A25" s="32">
        <v>7</v>
      </c>
      <c r="B25" s="33" t="s">
        <v>311</v>
      </c>
      <c r="C25" s="63" t="s">
        <v>12</v>
      </c>
      <c r="D25" s="35">
        <v>1</v>
      </c>
      <c r="E25" s="64">
        <v>200</v>
      </c>
      <c r="F25" s="65">
        <f>E25*D25</f>
        <v>200</v>
      </c>
      <c r="G25" s="37" t="s">
        <v>124</v>
      </c>
      <c r="H25" s="63" t="s">
        <v>40</v>
      </c>
      <c r="I25" s="35">
        <f>D25*3</f>
        <v>3</v>
      </c>
      <c r="J25" s="36">
        <v>10</v>
      </c>
      <c r="K25" s="66">
        <f>J25*I25</f>
        <v>30</v>
      </c>
      <c r="L25" s="67">
        <f t="shared" si="8"/>
        <v>230</v>
      </c>
      <c r="M25" s="25"/>
      <c r="N25" s="3"/>
      <c r="O25" s="3"/>
      <c r="P25" s="3"/>
      <c r="Q25" s="3"/>
      <c r="R25" s="3"/>
      <c r="S25" s="3"/>
      <c r="T25" s="3"/>
      <c r="U25" s="3"/>
      <c r="V25" s="3"/>
      <c r="W25" s="3"/>
      <c r="X25" s="3"/>
      <c r="Y25" s="3"/>
      <c r="Z25" s="3"/>
      <c r="AA25" s="3"/>
      <c r="AB25" s="3"/>
      <c r="AC25" s="3"/>
      <c r="AD25" s="3"/>
      <c r="AE25" s="3"/>
      <c r="AF25" s="3"/>
      <c r="AG25" s="3"/>
      <c r="AH25" s="3"/>
      <c r="AI25" s="3"/>
      <c r="AJ25" s="3"/>
      <c r="AK25" s="3"/>
    </row>
    <row r="26" spans="1:37" s="4" customFormat="1" ht="13.5" customHeight="1" outlineLevel="1" thickBot="1" x14ac:dyDescent="0.3">
      <c r="A26" s="32">
        <v>8</v>
      </c>
      <c r="B26" s="33" t="s">
        <v>312</v>
      </c>
      <c r="C26" s="63" t="s">
        <v>12</v>
      </c>
      <c r="D26" s="35">
        <v>1</v>
      </c>
      <c r="E26" s="64">
        <v>150</v>
      </c>
      <c r="F26" s="65">
        <f>E26*D26</f>
        <v>150</v>
      </c>
      <c r="G26" s="37" t="s">
        <v>124</v>
      </c>
      <c r="H26" s="63" t="s">
        <v>40</v>
      </c>
      <c r="I26" s="35">
        <f>D26*2</f>
        <v>2</v>
      </c>
      <c r="J26" s="36">
        <v>10</v>
      </c>
      <c r="K26" s="66">
        <f>J26*I26</f>
        <v>20</v>
      </c>
      <c r="L26" s="67">
        <f t="shared" si="8"/>
        <v>170</v>
      </c>
      <c r="M26" s="25"/>
      <c r="N26" s="3"/>
      <c r="O26" s="3"/>
      <c r="P26" s="3"/>
      <c r="Q26" s="3"/>
      <c r="R26" s="3"/>
      <c r="S26" s="3"/>
      <c r="T26" s="3"/>
      <c r="U26" s="3"/>
      <c r="V26" s="3"/>
      <c r="W26" s="3"/>
      <c r="X26" s="3"/>
      <c r="Y26" s="3"/>
      <c r="Z26" s="3"/>
      <c r="AA26" s="3"/>
      <c r="AB26" s="3"/>
      <c r="AC26" s="3"/>
      <c r="AD26" s="3"/>
      <c r="AE26" s="3"/>
      <c r="AF26" s="3"/>
      <c r="AG26" s="3"/>
      <c r="AH26" s="3"/>
      <c r="AI26" s="3"/>
      <c r="AJ26" s="3"/>
      <c r="AK26" s="3"/>
    </row>
    <row r="27" spans="1:37" s="4" customFormat="1" ht="13.5" customHeight="1" outlineLevel="1" thickBot="1" x14ac:dyDescent="0.3">
      <c r="A27" s="32">
        <v>9</v>
      </c>
      <c r="B27" s="33" t="s">
        <v>288</v>
      </c>
      <c r="C27" s="63" t="s">
        <v>12</v>
      </c>
      <c r="D27" s="35">
        <v>1</v>
      </c>
      <c r="E27" s="64">
        <v>120</v>
      </c>
      <c r="F27" s="65">
        <f t="shared" si="9"/>
        <v>120</v>
      </c>
      <c r="G27" s="37" t="s">
        <v>124</v>
      </c>
      <c r="H27" s="63" t="s">
        <v>40</v>
      </c>
      <c r="I27" s="35">
        <f>D27*0.5</f>
        <v>0.5</v>
      </c>
      <c r="J27" s="36">
        <v>10</v>
      </c>
      <c r="K27" s="66">
        <f t="shared" si="10"/>
        <v>5</v>
      </c>
      <c r="L27" s="67">
        <f t="shared" si="8"/>
        <v>125</v>
      </c>
      <c r="M27" s="25"/>
      <c r="N27" s="3"/>
      <c r="O27" s="3"/>
      <c r="P27" s="3"/>
      <c r="Q27" s="3"/>
      <c r="R27" s="3"/>
      <c r="S27" s="3"/>
      <c r="T27" s="3"/>
      <c r="U27" s="3"/>
      <c r="V27" s="3"/>
      <c r="W27" s="3"/>
      <c r="X27" s="3"/>
      <c r="Y27" s="3"/>
      <c r="Z27" s="3"/>
      <c r="AA27" s="3"/>
      <c r="AB27" s="3"/>
      <c r="AC27" s="3"/>
      <c r="AD27" s="3"/>
      <c r="AE27" s="3"/>
      <c r="AF27" s="3"/>
      <c r="AG27" s="3"/>
      <c r="AH27" s="3"/>
      <c r="AI27" s="3"/>
      <c r="AJ27" s="3"/>
      <c r="AK27" s="3"/>
    </row>
    <row r="28" spans="1:37" s="4" customFormat="1" ht="13.5" customHeight="1" outlineLevel="1" thickBot="1" x14ac:dyDescent="0.3">
      <c r="A28" s="32">
        <v>10</v>
      </c>
      <c r="B28" s="33" t="s">
        <v>289</v>
      </c>
      <c r="C28" s="63" t="s">
        <v>12</v>
      </c>
      <c r="D28" s="35">
        <v>1</v>
      </c>
      <c r="E28" s="64">
        <v>120</v>
      </c>
      <c r="F28" s="65">
        <f t="shared" si="9"/>
        <v>120</v>
      </c>
      <c r="G28" s="37" t="s">
        <v>124</v>
      </c>
      <c r="H28" s="63" t="s">
        <v>40</v>
      </c>
      <c r="I28" s="35">
        <f>D28*1</f>
        <v>1</v>
      </c>
      <c r="J28" s="36">
        <v>10</v>
      </c>
      <c r="K28" s="66">
        <f t="shared" si="10"/>
        <v>10</v>
      </c>
      <c r="L28" s="67">
        <f t="shared" si="8"/>
        <v>130</v>
      </c>
      <c r="M28" s="25"/>
      <c r="N28" s="3"/>
      <c r="O28" s="3"/>
      <c r="P28" s="3"/>
      <c r="Q28" s="3"/>
      <c r="R28" s="3"/>
      <c r="S28" s="3"/>
      <c r="T28" s="3"/>
      <c r="U28" s="3"/>
      <c r="V28" s="3"/>
      <c r="W28" s="3"/>
      <c r="X28" s="3"/>
      <c r="Y28" s="3"/>
      <c r="Z28" s="3"/>
      <c r="AA28" s="3"/>
      <c r="AB28" s="3"/>
      <c r="AC28" s="3"/>
      <c r="AD28" s="3"/>
      <c r="AE28" s="3"/>
      <c r="AF28" s="3"/>
      <c r="AG28" s="3"/>
      <c r="AH28" s="3"/>
      <c r="AI28" s="3"/>
      <c r="AJ28" s="3"/>
      <c r="AK28" s="3"/>
    </row>
    <row r="29" spans="1:37" s="4" customFormat="1" ht="13.5" customHeight="1" outlineLevel="1" thickBot="1" x14ac:dyDescent="0.3">
      <c r="A29" s="32">
        <v>11</v>
      </c>
      <c r="B29" s="33" t="s">
        <v>290</v>
      </c>
      <c r="C29" s="63" t="s">
        <v>12</v>
      </c>
      <c r="D29" s="35">
        <v>1</v>
      </c>
      <c r="E29" s="64">
        <v>120</v>
      </c>
      <c r="F29" s="65">
        <f t="shared" si="9"/>
        <v>120</v>
      </c>
      <c r="G29" s="37" t="s">
        <v>124</v>
      </c>
      <c r="H29" s="63" t="s">
        <v>40</v>
      </c>
      <c r="I29" s="35">
        <f>D29*1</f>
        <v>1</v>
      </c>
      <c r="J29" s="36">
        <v>10</v>
      </c>
      <c r="K29" s="66">
        <f t="shared" si="10"/>
        <v>10</v>
      </c>
      <c r="L29" s="67">
        <f t="shared" si="8"/>
        <v>130</v>
      </c>
      <c r="M29" s="25"/>
      <c r="N29" s="3"/>
      <c r="O29" s="3"/>
      <c r="P29" s="3"/>
      <c r="Q29" s="3"/>
      <c r="R29" s="3"/>
      <c r="S29" s="3"/>
      <c r="T29" s="3"/>
      <c r="U29" s="3"/>
      <c r="V29" s="3"/>
      <c r="W29" s="3"/>
      <c r="X29" s="3"/>
      <c r="Y29" s="3"/>
      <c r="Z29" s="3"/>
      <c r="AA29" s="3"/>
      <c r="AB29" s="3"/>
      <c r="AC29" s="3"/>
      <c r="AD29" s="3"/>
      <c r="AE29" s="3"/>
      <c r="AF29" s="3"/>
      <c r="AG29" s="3"/>
      <c r="AH29" s="3"/>
      <c r="AI29" s="3"/>
      <c r="AJ29" s="3"/>
      <c r="AK29" s="3"/>
    </row>
    <row r="30" spans="1:37" s="4" customFormat="1" ht="13.5" customHeight="1" outlineLevel="1" thickBot="1" x14ac:dyDescent="0.3">
      <c r="A30" s="32">
        <v>12</v>
      </c>
      <c r="B30" s="33" t="s">
        <v>291</v>
      </c>
      <c r="C30" s="63" t="s">
        <v>12</v>
      </c>
      <c r="D30" s="35">
        <v>1</v>
      </c>
      <c r="E30" s="64">
        <v>180</v>
      </c>
      <c r="F30" s="65">
        <f t="shared" si="9"/>
        <v>180</v>
      </c>
      <c r="G30" s="37" t="s">
        <v>124</v>
      </c>
      <c r="H30" s="63" t="s">
        <v>40</v>
      </c>
      <c r="I30" s="35">
        <f>D30*0.1</f>
        <v>0.1</v>
      </c>
      <c r="J30" s="36">
        <v>10</v>
      </c>
      <c r="K30" s="66">
        <f t="shared" si="10"/>
        <v>1</v>
      </c>
      <c r="L30" s="67">
        <f t="shared" si="8"/>
        <v>181</v>
      </c>
      <c r="M30" s="25"/>
      <c r="N30" s="3"/>
      <c r="O30" s="3"/>
      <c r="P30" s="3"/>
      <c r="Q30" s="3"/>
      <c r="R30" s="3"/>
      <c r="S30" s="3"/>
      <c r="T30" s="3"/>
      <c r="U30" s="3"/>
      <c r="V30" s="3"/>
      <c r="W30" s="3"/>
      <c r="X30" s="3"/>
      <c r="Y30" s="3"/>
      <c r="Z30" s="3"/>
      <c r="AA30" s="3"/>
      <c r="AB30" s="3"/>
      <c r="AC30" s="3"/>
      <c r="AD30" s="3"/>
      <c r="AE30" s="3"/>
      <c r="AF30" s="3"/>
      <c r="AG30" s="3"/>
      <c r="AH30" s="3"/>
      <c r="AI30" s="3"/>
      <c r="AJ30" s="3"/>
      <c r="AK30" s="3"/>
    </row>
    <row r="31" spans="1:37" s="4" customFormat="1" ht="13.5" customHeight="1" outlineLevel="1" thickBot="1" x14ac:dyDescent="0.3">
      <c r="A31" s="32">
        <v>13</v>
      </c>
      <c r="B31" s="33" t="s">
        <v>292</v>
      </c>
      <c r="C31" s="63" t="s">
        <v>12</v>
      </c>
      <c r="D31" s="35">
        <v>1</v>
      </c>
      <c r="E31" s="64">
        <v>150</v>
      </c>
      <c r="F31" s="65">
        <f t="shared" si="9"/>
        <v>150</v>
      </c>
      <c r="G31" s="37" t="s">
        <v>124</v>
      </c>
      <c r="H31" s="63" t="s">
        <v>40</v>
      </c>
      <c r="I31" s="35">
        <f>D31*0.1</f>
        <v>0.1</v>
      </c>
      <c r="J31" s="36">
        <v>10</v>
      </c>
      <c r="K31" s="66">
        <f t="shared" si="10"/>
        <v>1</v>
      </c>
      <c r="L31" s="67">
        <f t="shared" si="8"/>
        <v>151</v>
      </c>
      <c r="M31" s="25"/>
      <c r="N31" s="3"/>
      <c r="O31" s="3"/>
      <c r="P31" s="3"/>
      <c r="Q31" s="3"/>
      <c r="R31" s="3"/>
      <c r="S31" s="3"/>
      <c r="T31" s="3"/>
      <c r="U31" s="3"/>
      <c r="V31" s="3"/>
      <c r="W31" s="3"/>
      <c r="X31" s="3"/>
      <c r="Y31" s="3"/>
      <c r="Z31" s="3"/>
      <c r="AA31" s="3"/>
      <c r="AB31" s="3"/>
      <c r="AC31" s="3"/>
      <c r="AD31" s="3"/>
      <c r="AE31" s="3"/>
      <c r="AF31" s="3"/>
      <c r="AG31" s="3"/>
      <c r="AH31" s="3"/>
      <c r="AI31" s="3"/>
      <c r="AJ31" s="3"/>
      <c r="AK31" s="3"/>
    </row>
    <row r="32" spans="1:37" s="4" customFormat="1" ht="13.5" customHeight="1" outlineLevel="1" thickBot="1" x14ac:dyDescent="0.3">
      <c r="A32" s="32">
        <v>14</v>
      </c>
      <c r="B32" s="33" t="s">
        <v>293</v>
      </c>
      <c r="C32" s="63" t="s">
        <v>12</v>
      </c>
      <c r="D32" s="35">
        <v>1</v>
      </c>
      <c r="E32" s="64">
        <v>150</v>
      </c>
      <c r="F32" s="65">
        <f t="shared" si="9"/>
        <v>150</v>
      </c>
      <c r="G32" s="37" t="s">
        <v>124</v>
      </c>
      <c r="H32" s="63" t="s">
        <v>40</v>
      </c>
      <c r="I32" s="35">
        <f>D32*0.1</f>
        <v>0.1</v>
      </c>
      <c r="J32" s="36">
        <v>10</v>
      </c>
      <c r="K32" s="66">
        <f t="shared" si="10"/>
        <v>1</v>
      </c>
      <c r="L32" s="67">
        <f t="shared" si="8"/>
        <v>151</v>
      </c>
      <c r="M32" s="25"/>
      <c r="N32" s="3"/>
      <c r="O32" s="3"/>
      <c r="P32" s="3"/>
      <c r="Q32" s="3"/>
      <c r="R32" s="3"/>
      <c r="S32" s="3"/>
      <c r="T32" s="3"/>
      <c r="U32" s="3"/>
      <c r="V32" s="3"/>
      <c r="W32" s="3"/>
      <c r="X32" s="3"/>
      <c r="Y32" s="3"/>
      <c r="Z32" s="3"/>
      <c r="AA32" s="3"/>
      <c r="AB32" s="3"/>
      <c r="AC32" s="3"/>
      <c r="AD32" s="3"/>
      <c r="AE32" s="3"/>
      <c r="AF32" s="3"/>
      <c r="AG32" s="3"/>
      <c r="AH32" s="3"/>
      <c r="AI32" s="3"/>
      <c r="AJ32" s="3"/>
      <c r="AK32" s="3"/>
    </row>
    <row r="33" spans="1:37" s="4" customFormat="1" ht="13.5" customHeight="1" outlineLevel="1" thickBot="1" x14ac:dyDescent="0.3">
      <c r="A33" s="32">
        <v>15</v>
      </c>
      <c r="B33" s="33" t="s">
        <v>294</v>
      </c>
      <c r="C33" s="63" t="s">
        <v>12</v>
      </c>
      <c r="D33" s="35">
        <v>1</v>
      </c>
      <c r="E33" s="64">
        <v>120</v>
      </c>
      <c r="F33" s="65">
        <f t="shared" si="9"/>
        <v>120</v>
      </c>
      <c r="G33" s="37" t="s">
        <v>124</v>
      </c>
      <c r="H33" s="63" t="s">
        <v>40</v>
      </c>
      <c r="I33" s="35">
        <f>D33</f>
        <v>1</v>
      </c>
      <c r="J33" s="36">
        <v>10</v>
      </c>
      <c r="K33" s="66">
        <f t="shared" si="10"/>
        <v>10</v>
      </c>
      <c r="L33" s="67">
        <f t="shared" si="8"/>
        <v>130</v>
      </c>
      <c r="M33" s="25"/>
      <c r="N33" s="3"/>
      <c r="O33" s="3"/>
      <c r="P33" s="3"/>
      <c r="Q33" s="3"/>
      <c r="R33" s="3"/>
      <c r="S33" s="3"/>
      <c r="T33" s="3"/>
      <c r="U33" s="3"/>
      <c r="V33" s="3"/>
      <c r="W33" s="3"/>
      <c r="X33" s="3"/>
      <c r="Y33" s="3"/>
      <c r="Z33" s="3"/>
      <c r="AA33" s="3"/>
      <c r="AB33" s="3"/>
      <c r="AC33" s="3"/>
      <c r="AD33" s="3"/>
      <c r="AE33" s="3"/>
      <c r="AF33" s="3"/>
      <c r="AG33" s="3"/>
      <c r="AH33" s="3"/>
      <c r="AI33" s="3"/>
      <c r="AJ33" s="3"/>
      <c r="AK33" s="3"/>
    </row>
    <row r="34" spans="1:37" s="4" customFormat="1" ht="13.5" customHeight="1" outlineLevel="1" thickBot="1" x14ac:dyDescent="0.3">
      <c r="A34" s="32">
        <v>16</v>
      </c>
      <c r="B34" s="33" t="s">
        <v>295</v>
      </c>
      <c r="C34" s="63" t="s">
        <v>12</v>
      </c>
      <c r="D34" s="35">
        <v>1</v>
      </c>
      <c r="E34" s="64">
        <v>150</v>
      </c>
      <c r="F34" s="65">
        <f t="shared" si="9"/>
        <v>150</v>
      </c>
      <c r="G34" s="37" t="s">
        <v>124</v>
      </c>
      <c r="H34" s="63" t="s">
        <v>40</v>
      </c>
      <c r="I34" s="35">
        <f>D34*1.5</f>
        <v>1.5</v>
      </c>
      <c r="J34" s="36">
        <v>10</v>
      </c>
      <c r="K34" s="66">
        <f t="shared" si="10"/>
        <v>15</v>
      </c>
      <c r="L34" s="67">
        <f t="shared" si="8"/>
        <v>165</v>
      </c>
      <c r="M34" s="25"/>
      <c r="N34" s="3"/>
      <c r="O34" s="3"/>
      <c r="P34" s="3"/>
      <c r="Q34" s="3"/>
      <c r="R34" s="3"/>
      <c r="S34" s="3"/>
      <c r="T34" s="3"/>
      <c r="U34" s="3"/>
      <c r="V34" s="3"/>
      <c r="W34" s="3"/>
      <c r="X34" s="3"/>
      <c r="Y34" s="3"/>
      <c r="Z34" s="3"/>
      <c r="AA34" s="3"/>
      <c r="AB34" s="3"/>
      <c r="AC34" s="3"/>
      <c r="AD34" s="3"/>
      <c r="AE34" s="3"/>
      <c r="AF34" s="3"/>
      <c r="AG34" s="3"/>
      <c r="AH34" s="3"/>
      <c r="AI34" s="3"/>
      <c r="AJ34" s="3"/>
      <c r="AK34" s="3"/>
    </row>
    <row r="35" spans="1:37" s="4" customFormat="1" ht="13.5" customHeight="1" outlineLevel="1" thickBot="1" x14ac:dyDescent="0.3">
      <c r="A35" s="32">
        <v>17</v>
      </c>
      <c r="B35" s="33" t="s">
        <v>296</v>
      </c>
      <c r="C35" s="63" t="s">
        <v>12</v>
      </c>
      <c r="D35" s="35">
        <v>1</v>
      </c>
      <c r="E35" s="64">
        <v>150</v>
      </c>
      <c r="F35" s="65">
        <f t="shared" si="9"/>
        <v>150</v>
      </c>
      <c r="G35" s="37" t="s">
        <v>124</v>
      </c>
      <c r="H35" s="63" t="s">
        <v>40</v>
      </c>
      <c r="I35" s="35">
        <f t="shared" si="11"/>
        <v>2</v>
      </c>
      <c r="J35" s="36">
        <v>10</v>
      </c>
      <c r="K35" s="66">
        <f t="shared" si="10"/>
        <v>20</v>
      </c>
      <c r="L35" s="67">
        <f t="shared" si="8"/>
        <v>170</v>
      </c>
      <c r="M35" s="25"/>
      <c r="N35" s="3"/>
      <c r="O35" s="3"/>
      <c r="P35" s="3"/>
      <c r="Q35" s="3"/>
      <c r="R35" s="3"/>
      <c r="S35" s="3"/>
      <c r="T35" s="3"/>
      <c r="U35" s="3"/>
      <c r="V35" s="3"/>
      <c r="W35" s="3"/>
      <c r="X35" s="3"/>
      <c r="Y35" s="3"/>
      <c r="Z35" s="3"/>
      <c r="AA35" s="3"/>
      <c r="AB35" s="3"/>
      <c r="AC35" s="3"/>
      <c r="AD35" s="3"/>
      <c r="AE35" s="3"/>
      <c r="AF35" s="3"/>
      <c r="AG35" s="3"/>
      <c r="AH35" s="3"/>
      <c r="AI35" s="3"/>
      <c r="AJ35" s="3"/>
      <c r="AK35" s="3"/>
    </row>
    <row r="36" spans="1:37" s="4" customFormat="1" ht="13.5" customHeight="1" outlineLevel="1" thickBot="1" x14ac:dyDescent="0.3">
      <c r="A36" s="32">
        <v>18</v>
      </c>
      <c r="B36" s="33" t="s">
        <v>297</v>
      </c>
      <c r="C36" s="63" t="s">
        <v>12</v>
      </c>
      <c r="D36" s="35">
        <v>1</v>
      </c>
      <c r="E36" s="64">
        <v>120</v>
      </c>
      <c r="F36" s="65">
        <f t="shared" si="9"/>
        <v>120</v>
      </c>
      <c r="G36" s="37" t="s">
        <v>124</v>
      </c>
      <c r="H36" s="63" t="s">
        <v>40</v>
      </c>
      <c r="I36" s="35">
        <f>D36</f>
        <v>1</v>
      </c>
      <c r="J36" s="36">
        <v>10</v>
      </c>
      <c r="K36" s="66">
        <f t="shared" si="10"/>
        <v>10</v>
      </c>
      <c r="L36" s="67">
        <f t="shared" si="8"/>
        <v>130</v>
      </c>
      <c r="M36" s="25"/>
      <c r="N36" s="3"/>
      <c r="O36" s="3"/>
      <c r="P36" s="3"/>
      <c r="Q36" s="3"/>
      <c r="R36" s="3"/>
      <c r="S36" s="3"/>
      <c r="T36" s="3"/>
      <c r="U36" s="3"/>
      <c r="V36" s="3"/>
      <c r="W36" s="3"/>
      <c r="X36" s="3"/>
      <c r="Y36" s="3"/>
      <c r="Z36" s="3"/>
      <c r="AA36" s="3"/>
      <c r="AB36" s="3"/>
      <c r="AC36" s="3"/>
      <c r="AD36" s="3"/>
      <c r="AE36" s="3"/>
      <c r="AF36" s="3"/>
      <c r="AG36" s="3"/>
      <c r="AH36" s="3"/>
      <c r="AI36" s="3"/>
      <c r="AJ36" s="3"/>
      <c r="AK36" s="3"/>
    </row>
    <row r="37" spans="1:37" s="4" customFormat="1" ht="13.5" customHeight="1" outlineLevel="1" thickBot="1" x14ac:dyDescent="0.3">
      <c r="A37" s="32">
        <v>19</v>
      </c>
      <c r="B37" s="33" t="s">
        <v>298</v>
      </c>
      <c r="C37" s="63" t="s">
        <v>12</v>
      </c>
      <c r="D37" s="35">
        <v>1</v>
      </c>
      <c r="E37" s="64">
        <v>150</v>
      </c>
      <c r="F37" s="65">
        <f t="shared" si="9"/>
        <v>150</v>
      </c>
      <c r="G37" s="37" t="s">
        <v>124</v>
      </c>
      <c r="H37" s="63" t="s">
        <v>40</v>
      </c>
      <c r="I37" s="35">
        <f>D37</f>
        <v>1</v>
      </c>
      <c r="J37" s="36">
        <v>10</v>
      </c>
      <c r="K37" s="66">
        <f t="shared" si="10"/>
        <v>10</v>
      </c>
      <c r="L37" s="67">
        <f t="shared" si="8"/>
        <v>160</v>
      </c>
      <c r="M37" s="25"/>
      <c r="N37" s="3"/>
      <c r="O37" s="3"/>
      <c r="P37" s="3"/>
      <c r="Q37" s="3"/>
      <c r="R37" s="3"/>
      <c r="S37" s="3"/>
      <c r="T37" s="3"/>
      <c r="U37" s="3"/>
      <c r="V37" s="3"/>
      <c r="W37" s="3"/>
      <c r="X37" s="3"/>
      <c r="Y37" s="3"/>
      <c r="Z37" s="3"/>
      <c r="AA37" s="3"/>
      <c r="AB37" s="3"/>
      <c r="AC37" s="3"/>
      <c r="AD37" s="3"/>
      <c r="AE37" s="3"/>
      <c r="AF37" s="3"/>
      <c r="AG37" s="3"/>
      <c r="AH37" s="3"/>
      <c r="AI37" s="3"/>
      <c r="AJ37" s="3"/>
      <c r="AK37" s="3"/>
    </row>
    <row r="38" spans="1:37" s="4" customFormat="1" ht="13.5" customHeight="1" outlineLevel="1" thickBot="1" x14ac:dyDescent="0.3">
      <c r="A38" s="32">
        <v>20</v>
      </c>
      <c r="B38" s="33" t="s">
        <v>314</v>
      </c>
      <c r="C38" s="63" t="s">
        <v>12</v>
      </c>
      <c r="D38" s="35">
        <v>1</v>
      </c>
      <c r="E38" s="64">
        <v>120</v>
      </c>
      <c r="F38" s="65">
        <f>E38*D38</f>
        <v>120</v>
      </c>
      <c r="G38" s="37" t="s">
        <v>124</v>
      </c>
      <c r="H38" s="63" t="s">
        <v>40</v>
      </c>
      <c r="I38" s="35">
        <f>D38</f>
        <v>1</v>
      </c>
      <c r="J38" s="36">
        <v>10</v>
      </c>
      <c r="K38" s="66">
        <f>J38*I38</f>
        <v>10</v>
      </c>
      <c r="L38" s="67">
        <f t="shared" si="8"/>
        <v>130</v>
      </c>
      <c r="M38" s="25"/>
      <c r="N38" s="3"/>
      <c r="O38" s="3"/>
      <c r="P38" s="3"/>
      <c r="Q38" s="3"/>
      <c r="R38" s="3"/>
      <c r="S38" s="3"/>
      <c r="T38" s="3"/>
      <c r="U38" s="3"/>
      <c r="V38" s="3"/>
      <c r="W38" s="3"/>
      <c r="X38" s="3"/>
      <c r="Y38" s="3"/>
      <c r="Z38" s="3"/>
      <c r="AA38" s="3"/>
      <c r="AB38" s="3"/>
      <c r="AC38" s="3"/>
      <c r="AD38" s="3"/>
      <c r="AE38" s="3"/>
      <c r="AF38" s="3"/>
      <c r="AG38" s="3"/>
      <c r="AH38" s="3"/>
      <c r="AI38" s="3"/>
      <c r="AJ38" s="3"/>
      <c r="AK38" s="3"/>
    </row>
    <row r="39" spans="1:37" s="4" customFormat="1" ht="13.5" customHeight="1" outlineLevel="1" thickBot="1" x14ac:dyDescent="0.3">
      <c r="A39" s="32">
        <v>21</v>
      </c>
      <c r="B39" s="33" t="s">
        <v>299</v>
      </c>
      <c r="C39" s="63" t="s">
        <v>12</v>
      </c>
      <c r="D39" s="35">
        <v>1</v>
      </c>
      <c r="E39" s="64">
        <v>50</v>
      </c>
      <c r="F39" s="65">
        <f t="shared" si="9"/>
        <v>50</v>
      </c>
      <c r="G39" s="37" t="s">
        <v>124</v>
      </c>
      <c r="H39" s="63" t="s">
        <v>40</v>
      </c>
      <c r="I39" s="35">
        <f>D39*0.2</f>
        <v>0.2</v>
      </c>
      <c r="J39" s="36">
        <v>10</v>
      </c>
      <c r="K39" s="66">
        <f t="shared" si="10"/>
        <v>2</v>
      </c>
      <c r="L39" s="67">
        <f t="shared" si="8"/>
        <v>52</v>
      </c>
      <c r="M39" s="25"/>
      <c r="N39" s="3"/>
      <c r="O39" s="3"/>
      <c r="P39" s="3"/>
      <c r="Q39" s="3"/>
      <c r="R39" s="3"/>
      <c r="S39" s="3"/>
      <c r="T39" s="3"/>
      <c r="U39" s="3"/>
      <c r="V39" s="3"/>
      <c r="W39" s="3"/>
      <c r="X39" s="3"/>
      <c r="Y39" s="3"/>
      <c r="Z39" s="3"/>
      <c r="AA39" s="3"/>
      <c r="AB39" s="3"/>
      <c r="AC39" s="3"/>
      <c r="AD39" s="3"/>
      <c r="AE39" s="3"/>
      <c r="AF39" s="3"/>
      <c r="AG39" s="3"/>
      <c r="AH39" s="3"/>
      <c r="AI39" s="3"/>
      <c r="AJ39" s="3"/>
      <c r="AK39" s="3"/>
    </row>
    <row r="40" spans="1:37" s="4" customFormat="1" ht="13.5" customHeight="1" outlineLevel="1" thickBot="1" x14ac:dyDescent="0.3">
      <c r="A40" s="32">
        <v>22</v>
      </c>
      <c r="B40" s="33" t="s">
        <v>300</v>
      </c>
      <c r="C40" s="63" t="s">
        <v>12</v>
      </c>
      <c r="D40" s="35">
        <v>1</v>
      </c>
      <c r="E40" s="64">
        <v>50</v>
      </c>
      <c r="F40" s="65">
        <f t="shared" si="9"/>
        <v>50</v>
      </c>
      <c r="G40" s="37" t="s">
        <v>124</v>
      </c>
      <c r="H40" s="63" t="s">
        <v>40</v>
      </c>
      <c r="I40" s="35">
        <f>D40*0.01</f>
        <v>0.01</v>
      </c>
      <c r="J40" s="36">
        <v>10</v>
      </c>
      <c r="K40" s="66">
        <f t="shared" si="10"/>
        <v>0.1</v>
      </c>
      <c r="L40" s="67">
        <f t="shared" si="8"/>
        <v>50.1</v>
      </c>
      <c r="M40" s="25"/>
      <c r="N40" s="3"/>
      <c r="O40" s="3"/>
      <c r="P40" s="3"/>
      <c r="Q40" s="3"/>
      <c r="R40" s="3"/>
      <c r="S40" s="3"/>
      <c r="T40" s="3"/>
      <c r="U40" s="3"/>
      <c r="V40" s="3"/>
      <c r="W40" s="3"/>
      <c r="X40" s="3"/>
      <c r="Y40" s="3"/>
      <c r="Z40" s="3"/>
      <c r="AA40" s="3"/>
      <c r="AB40" s="3"/>
      <c r="AC40" s="3"/>
      <c r="AD40" s="3"/>
      <c r="AE40" s="3"/>
      <c r="AF40" s="3"/>
      <c r="AG40" s="3"/>
      <c r="AH40" s="3"/>
      <c r="AI40" s="3"/>
      <c r="AJ40" s="3"/>
      <c r="AK40" s="3"/>
    </row>
    <row r="41" spans="1:37" s="4" customFormat="1" ht="13.5" customHeight="1" outlineLevel="1" thickBot="1" x14ac:dyDescent="0.3">
      <c r="A41" s="32">
        <v>23</v>
      </c>
      <c r="B41" s="33" t="s">
        <v>301</v>
      </c>
      <c r="C41" s="63" t="s">
        <v>12</v>
      </c>
      <c r="D41" s="35">
        <v>1</v>
      </c>
      <c r="E41" s="64">
        <v>50</v>
      </c>
      <c r="F41" s="65">
        <f t="shared" si="9"/>
        <v>50</v>
      </c>
      <c r="G41" s="37" t="s">
        <v>124</v>
      </c>
      <c r="H41" s="63" t="s">
        <v>40</v>
      </c>
      <c r="I41" s="35">
        <f>D41*0.05</f>
        <v>0.05</v>
      </c>
      <c r="J41" s="36">
        <v>10</v>
      </c>
      <c r="K41" s="66">
        <f t="shared" si="10"/>
        <v>0.5</v>
      </c>
      <c r="L41" s="67">
        <f t="shared" si="8"/>
        <v>50.5</v>
      </c>
      <c r="M41" s="25"/>
      <c r="N41" s="3"/>
      <c r="O41" s="3"/>
      <c r="P41" s="3"/>
      <c r="Q41" s="3"/>
      <c r="R41" s="3"/>
      <c r="S41" s="3"/>
      <c r="T41" s="3"/>
      <c r="U41" s="3"/>
      <c r="V41" s="3"/>
      <c r="W41" s="3"/>
      <c r="X41" s="3"/>
      <c r="Y41" s="3"/>
      <c r="Z41" s="3"/>
      <c r="AA41" s="3"/>
      <c r="AB41" s="3"/>
      <c r="AC41" s="3"/>
      <c r="AD41" s="3"/>
      <c r="AE41" s="3"/>
      <c r="AF41" s="3"/>
      <c r="AG41" s="3"/>
      <c r="AH41" s="3"/>
      <c r="AI41" s="3"/>
      <c r="AJ41" s="3"/>
      <c r="AK41" s="3"/>
    </row>
    <row r="42" spans="1:37" s="4" customFormat="1" ht="13.5" customHeight="1" outlineLevel="1" thickBot="1" x14ac:dyDescent="0.3">
      <c r="A42" s="32">
        <v>24</v>
      </c>
      <c r="B42" s="33" t="s">
        <v>302</v>
      </c>
      <c r="C42" s="63" t="s">
        <v>14</v>
      </c>
      <c r="D42" s="35">
        <v>1</v>
      </c>
      <c r="E42" s="64">
        <v>70</v>
      </c>
      <c r="F42" s="65">
        <f t="shared" si="9"/>
        <v>70</v>
      </c>
      <c r="G42" s="37" t="s">
        <v>124</v>
      </c>
      <c r="H42" s="63" t="s">
        <v>40</v>
      </c>
      <c r="I42" s="35">
        <f>D42*0.1</f>
        <v>0.1</v>
      </c>
      <c r="J42" s="36">
        <v>10</v>
      </c>
      <c r="K42" s="66">
        <f t="shared" si="10"/>
        <v>1</v>
      </c>
      <c r="L42" s="67">
        <f t="shared" si="8"/>
        <v>71</v>
      </c>
      <c r="M42" s="25"/>
      <c r="N42" s="3"/>
      <c r="O42" s="3"/>
      <c r="P42" s="3"/>
      <c r="Q42" s="3"/>
      <c r="R42" s="3"/>
      <c r="S42" s="3"/>
      <c r="T42" s="3"/>
      <c r="U42" s="3"/>
      <c r="V42" s="3"/>
      <c r="W42" s="3"/>
      <c r="X42" s="3"/>
      <c r="Y42" s="3"/>
      <c r="Z42" s="3"/>
      <c r="AA42" s="3"/>
      <c r="AB42" s="3"/>
      <c r="AC42" s="3"/>
      <c r="AD42" s="3"/>
      <c r="AE42" s="3"/>
      <c r="AF42" s="3"/>
      <c r="AG42" s="3"/>
      <c r="AH42" s="3"/>
      <c r="AI42" s="3"/>
      <c r="AJ42" s="3"/>
      <c r="AK42" s="3"/>
    </row>
    <row r="43" spans="1:37" s="4" customFormat="1" ht="13.5" customHeight="1" outlineLevel="1" thickBot="1" x14ac:dyDescent="0.3">
      <c r="A43" s="32">
        <v>25</v>
      </c>
      <c r="B43" s="33" t="s">
        <v>303</v>
      </c>
      <c r="C43" s="63" t="s">
        <v>40</v>
      </c>
      <c r="D43" s="35">
        <v>1</v>
      </c>
      <c r="E43" s="64">
        <v>1500</v>
      </c>
      <c r="F43" s="65">
        <f t="shared" si="9"/>
        <v>1500</v>
      </c>
      <c r="G43" s="37" t="s">
        <v>124</v>
      </c>
      <c r="H43" s="63" t="s">
        <v>40</v>
      </c>
      <c r="I43" s="35">
        <f>D43</f>
        <v>1</v>
      </c>
      <c r="J43" s="36">
        <v>10</v>
      </c>
      <c r="K43" s="66">
        <f t="shared" si="10"/>
        <v>10</v>
      </c>
      <c r="L43" s="67">
        <f t="shared" si="8"/>
        <v>1510</v>
      </c>
      <c r="M43" s="25"/>
      <c r="N43" s="3"/>
      <c r="O43" s="3"/>
      <c r="P43" s="3"/>
      <c r="Q43" s="3"/>
      <c r="R43" s="3"/>
      <c r="S43" s="3"/>
      <c r="T43" s="3"/>
      <c r="U43" s="3"/>
      <c r="V43" s="3"/>
      <c r="W43" s="3"/>
      <c r="X43" s="3"/>
      <c r="Y43" s="3"/>
      <c r="Z43" s="3"/>
      <c r="AA43" s="3"/>
      <c r="AB43" s="3"/>
      <c r="AC43" s="3"/>
      <c r="AD43" s="3"/>
      <c r="AE43" s="3"/>
      <c r="AF43" s="3"/>
      <c r="AG43" s="3"/>
      <c r="AH43" s="3"/>
      <c r="AI43" s="3"/>
      <c r="AJ43" s="3"/>
      <c r="AK43" s="3"/>
    </row>
    <row r="44" spans="1:37" s="4" customFormat="1" ht="13.5" customHeight="1" outlineLevel="1" thickBot="1" x14ac:dyDescent="0.3">
      <c r="A44" s="32">
        <v>26</v>
      </c>
      <c r="B44" s="33" t="s">
        <v>304</v>
      </c>
      <c r="C44" s="63" t="s">
        <v>14</v>
      </c>
      <c r="D44" s="35">
        <v>1</v>
      </c>
      <c r="E44" s="64">
        <v>150</v>
      </c>
      <c r="F44" s="65">
        <f t="shared" si="9"/>
        <v>150</v>
      </c>
      <c r="G44" s="37" t="s">
        <v>124</v>
      </c>
      <c r="H44" s="63" t="s">
        <v>40</v>
      </c>
      <c r="I44" s="35">
        <f>D44*0.5</f>
        <v>0.5</v>
      </c>
      <c r="J44" s="36">
        <v>10</v>
      </c>
      <c r="K44" s="66">
        <f t="shared" si="10"/>
        <v>5</v>
      </c>
      <c r="L44" s="67">
        <f t="shared" si="8"/>
        <v>155</v>
      </c>
      <c r="M44" s="25"/>
      <c r="N44" s="3"/>
      <c r="O44" s="3"/>
      <c r="P44" s="3"/>
      <c r="Q44" s="3"/>
      <c r="R44" s="3"/>
      <c r="S44" s="3"/>
      <c r="T44" s="3"/>
      <c r="U44" s="3"/>
      <c r="V44" s="3"/>
      <c r="W44" s="3"/>
      <c r="X44" s="3"/>
      <c r="Y44" s="3"/>
      <c r="Z44" s="3"/>
      <c r="AA44" s="3"/>
      <c r="AB44" s="3"/>
      <c r="AC44" s="3"/>
      <c r="AD44" s="3"/>
      <c r="AE44" s="3"/>
      <c r="AF44" s="3"/>
      <c r="AG44" s="3"/>
      <c r="AH44" s="3"/>
      <c r="AI44" s="3"/>
      <c r="AJ44" s="3"/>
      <c r="AK44" s="3"/>
    </row>
    <row r="45" spans="1:37" s="4" customFormat="1" ht="13.5" customHeight="1" outlineLevel="1" thickBot="1" x14ac:dyDescent="0.3">
      <c r="A45" s="32">
        <v>27</v>
      </c>
      <c r="B45" s="33" t="s">
        <v>305</v>
      </c>
      <c r="C45" s="63" t="s">
        <v>40</v>
      </c>
      <c r="D45" s="35">
        <v>1</v>
      </c>
      <c r="E45" s="64">
        <v>1500</v>
      </c>
      <c r="F45" s="65">
        <f t="shared" si="9"/>
        <v>1500</v>
      </c>
      <c r="G45" s="37"/>
      <c r="H45" s="63"/>
      <c r="I45" s="35"/>
      <c r="J45" s="36"/>
      <c r="K45" s="66"/>
      <c r="L45" s="67">
        <f t="shared" si="8"/>
        <v>1500</v>
      </c>
      <c r="M45" s="25"/>
      <c r="N45" s="3"/>
      <c r="O45" s="3"/>
      <c r="P45" s="3"/>
      <c r="Q45" s="3"/>
      <c r="R45" s="3"/>
      <c r="S45" s="3"/>
      <c r="T45" s="3"/>
      <c r="U45" s="3"/>
      <c r="V45" s="3"/>
      <c r="W45" s="3"/>
      <c r="X45" s="3"/>
      <c r="Y45" s="3"/>
      <c r="Z45" s="3"/>
      <c r="AA45" s="3"/>
      <c r="AB45" s="3"/>
      <c r="AC45" s="3"/>
      <c r="AD45" s="3"/>
      <c r="AE45" s="3"/>
      <c r="AF45" s="3"/>
      <c r="AG45" s="3"/>
      <c r="AH45" s="3"/>
      <c r="AI45" s="3"/>
      <c r="AJ45" s="3"/>
      <c r="AK45" s="3"/>
    </row>
    <row r="46" spans="1:37" s="4" customFormat="1" ht="13.5" customHeight="1" outlineLevel="1" thickBot="1" x14ac:dyDescent="0.3">
      <c r="A46" s="32">
        <v>28</v>
      </c>
      <c r="B46" s="33" t="s">
        <v>306</v>
      </c>
      <c r="C46" s="63" t="s">
        <v>40</v>
      </c>
      <c r="D46" s="35">
        <v>1</v>
      </c>
      <c r="E46" s="64">
        <v>800</v>
      </c>
      <c r="F46" s="65">
        <f t="shared" si="9"/>
        <v>800</v>
      </c>
      <c r="G46" s="37"/>
      <c r="H46" s="63"/>
      <c r="I46" s="35"/>
      <c r="J46" s="36"/>
      <c r="K46" s="66"/>
      <c r="L46" s="67">
        <f t="shared" si="8"/>
        <v>800</v>
      </c>
      <c r="M46" s="25"/>
      <c r="N46" s="3"/>
      <c r="O46" s="3"/>
      <c r="P46" s="3"/>
      <c r="Q46" s="3"/>
      <c r="R46" s="3"/>
      <c r="S46" s="3"/>
      <c r="T46" s="3"/>
      <c r="U46" s="3"/>
      <c r="V46" s="3"/>
      <c r="W46" s="3"/>
      <c r="X46" s="3"/>
      <c r="Y46" s="3"/>
      <c r="Z46" s="3"/>
      <c r="AA46" s="3"/>
      <c r="AB46" s="3"/>
      <c r="AC46" s="3"/>
      <c r="AD46" s="3"/>
      <c r="AE46" s="3"/>
      <c r="AF46" s="3"/>
      <c r="AG46" s="3"/>
      <c r="AH46" s="3"/>
      <c r="AI46" s="3"/>
      <c r="AJ46" s="3"/>
      <c r="AK46" s="3"/>
    </row>
    <row r="47" spans="1:37" s="4" customFormat="1" ht="13.5" customHeight="1" outlineLevel="1" thickBot="1" x14ac:dyDescent="0.3">
      <c r="A47" s="32">
        <v>29</v>
      </c>
      <c r="B47" s="33" t="s">
        <v>307</v>
      </c>
      <c r="C47" s="63" t="s">
        <v>40</v>
      </c>
      <c r="D47" s="35">
        <v>1</v>
      </c>
      <c r="E47" s="64">
        <v>500</v>
      </c>
      <c r="F47" s="65">
        <f t="shared" si="9"/>
        <v>500</v>
      </c>
      <c r="G47" s="37"/>
      <c r="H47" s="63"/>
      <c r="I47" s="35"/>
      <c r="J47" s="36"/>
      <c r="K47" s="66"/>
      <c r="L47" s="67">
        <f t="shared" si="8"/>
        <v>500</v>
      </c>
      <c r="M47" s="25"/>
      <c r="N47" s="3"/>
      <c r="O47" s="3"/>
      <c r="P47" s="3"/>
      <c r="Q47" s="3"/>
      <c r="R47" s="3"/>
      <c r="S47" s="3"/>
      <c r="T47" s="3"/>
      <c r="U47" s="3"/>
      <c r="V47" s="3"/>
      <c r="W47" s="3"/>
      <c r="X47" s="3"/>
      <c r="Y47" s="3"/>
      <c r="Z47" s="3"/>
      <c r="AA47" s="3"/>
      <c r="AB47" s="3"/>
      <c r="AC47" s="3"/>
      <c r="AD47" s="3"/>
      <c r="AE47" s="3"/>
      <c r="AF47" s="3"/>
      <c r="AG47" s="3"/>
      <c r="AH47" s="3"/>
      <c r="AI47" s="3"/>
      <c r="AJ47" s="3"/>
      <c r="AK47" s="3"/>
    </row>
    <row r="48" spans="1:37" s="4" customFormat="1" ht="13.5" customHeight="1" outlineLevel="1" thickBot="1" x14ac:dyDescent="0.3">
      <c r="A48" s="32">
        <v>30</v>
      </c>
      <c r="B48" s="33" t="s">
        <v>308</v>
      </c>
      <c r="C48" s="63" t="s">
        <v>40</v>
      </c>
      <c r="D48" s="35">
        <v>1</v>
      </c>
      <c r="E48" s="64">
        <v>1200</v>
      </c>
      <c r="F48" s="65">
        <f t="shared" si="9"/>
        <v>1200</v>
      </c>
      <c r="G48" s="37"/>
      <c r="H48" s="63"/>
      <c r="I48" s="35"/>
      <c r="J48" s="36"/>
      <c r="K48" s="66"/>
      <c r="L48" s="67">
        <f t="shared" si="8"/>
        <v>1200</v>
      </c>
      <c r="M48" s="25"/>
      <c r="N48" s="3"/>
      <c r="O48" s="3"/>
      <c r="P48" s="3"/>
      <c r="Q48" s="3"/>
      <c r="R48" s="3"/>
      <c r="S48" s="3"/>
      <c r="T48" s="3"/>
      <c r="U48" s="3"/>
      <c r="V48" s="3"/>
      <c r="W48" s="3"/>
      <c r="X48" s="3"/>
      <c r="Y48" s="3"/>
      <c r="Z48" s="3"/>
      <c r="AA48" s="3"/>
      <c r="AB48" s="3"/>
      <c r="AC48" s="3"/>
      <c r="AD48" s="3"/>
      <c r="AE48" s="3"/>
      <c r="AF48" s="3"/>
      <c r="AG48" s="3"/>
      <c r="AH48" s="3"/>
      <c r="AI48" s="3"/>
      <c r="AJ48" s="3"/>
      <c r="AK48" s="3"/>
    </row>
    <row r="49" spans="1:37" s="4" customFormat="1" ht="13.5" customHeight="1" outlineLevel="1" thickBot="1" x14ac:dyDescent="0.3">
      <c r="A49" s="32">
        <v>31</v>
      </c>
      <c r="B49" s="33" t="s">
        <v>309</v>
      </c>
      <c r="C49" s="63" t="s">
        <v>40</v>
      </c>
      <c r="D49" s="35">
        <v>1</v>
      </c>
      <c r="E49" s="64">
        <v>500</v>
      </c>
      <c r="F49" s="65">
        <f t="shared" si="9"/>
        <v>500</v>
      </c>
      <c r="G49" s="37"/>
      <c r="H49" s="63"/>
      <c r="I49" s="35"/>
      <c r="J49" s="36"/>
      <c r="K49" s="66"/>
      <c r="L49" s="67">
        <f t="shared" si="8"/>
        <v>500</v>
      </c>
      <c r="M49" s="25"/>
      <c r="N49" s="3"/>
      <c r="O49" s="3"/>
      <c r="P49" s="3"/>
      <c r="Q49" s="3"/>
      <c r="R49" s="3"/>
      <c r="S49" s="3"/>
      <c r="T49" s="3"/>
      <c r="U49" s="3"/>
      <c r="V49" s="3"/>
      <c r="W49" s="3"/>
      <c r="X49" s="3"/>
      <c r="Y49" s="3"/>
      <c r="Z49" s="3"/>
      <c r="AA49" s="3"/>
      <c r="AB49" s="3"/>
      <c r="AC49" s="3"/>
      <c r="AD49" s="3"/>
      <c r="AE49" s="3"/>
      <c r="AF49" s="3"/>
      <c r="AG49" s="3"/>
      <c r="AH49" s="3"/>
      <c r="AI49" s="3"/>
      <c r="AJ49" s="3"/>
      <c r="AK49" s="3"/>
    </row>
    <row r="50" spans="1:37" s="4" customFormat="1" ht="13.5" customHeight="1" outlineLevel="1" thickBot="1" x14ac:dyDescent="0.3">
      <c r="A50" s="32">
        <v>32</v>
      </c>
      <c r="B50" s="33" t="s">
        <v>310</v>
      </c>
      <c r="C50" s="63" t="s">
        <v>12</v>
      </c>
      <c r="D50" s="35">
        <v>1</v>
      </c>
      <c r="E50" s="64">
        <v>150</v>
      </c>
      <c r="F50" s="65">
        <f t="shared" si="9"/>
        <v>150</v>
      </c>
      <c r="G50" s="37" t="s">
        <v>124</v>
      </c>
      <c r="H50" s="63" t="s">
        <v>40</v>
      </c>
      <c r="I50" s="35">
        <f t="shared" si="11"/>
        <v>2</v>
      </c>
      <c r="J50" s="36">
        <v>10</v>
      </c>
      <c r="K50" s="66">
        <f t="shared" si="10"/>
        <v>20</v>
      </c>
      <c r="L50" s="67">
        <f t="shared" si="8"/>
        <v>170</v>
      </c>
      <c r="M50" s="25"/>
      <c r="N50" s="3"/>
      <c r="O50" s="3"/>
      <c r="P50" s="3"/>
      <c r="Q50" s="3"/>
      <c r="R50" s="3"/>
      <c r="S50" s="3"/>
      <c r="T50" s="3"/>
      <c r="U50" s="3"/>
      <c r="V50" s="3"/>
      <c r="W50" s="3"/>
      <c r="X50" s="3"/>
      <c r="Y50" s="3"/>
      <c r="Z50" s="3"/>
      <c r="AA50" s="3"/>
      <c r="AB50" s="3"/>
      <c r="AC50" s="3"/>
      <c r="AD50" s="3"/>
      <c r="AE50" s="3"/>
      <c r="AF50" s="3"/>
      <c r="AG50" s="3"/>
      <c r="AH50" s="3"/>
      <c r="AI50" s="3"/>
      <c r="AJ50" s="3"/>
      <c r="AK50" s="3"/>
    </row>
    <row r="51" spans="1:37" s="4" customFormat="1" ht="13.5" customHeight="1" thickBot="1" x14ac:dyDescent="0.3">
      <c r="A51" s="222" t="s">
        <v>445</v>
      </c>
      <c r="B51" s="223"/>
      <c r="C51" s="223"/>
      <c r="D51" s="223"/>
      <c r="E51" s="223"/>
      <c r="F51" s="148">
        <f>SUM(F19:F50)</f>
        <v>9460</v>
      </c>
      <c r="G51" s="229" t="s">
        <v>444</v>
      </c>
      <c r="H51" s="230"/>
      <c r="I51" s="230"/>
      <c r="J51" s="231"/>
      <c r="K51" s="151">
        <f>SUM(K19:K50)</f>
        <v>311.60000000000002</v>
      </c>
      <c r="L51" s="143"/>
      <c r="M51" s="25"/>
      <c r="N51" s="3"/>
      <c r="O51" s="3"/>
      <c r="P51" s="3"/>
      <c r="Q51" s="3"/>
      <c r="R51" s="3"/>
      <c r="S51" s="3"/>
      <c r="T51" s="3"/>
      <c r="U51" s="3"/>
      <c r="V51" s="3"/>
      <c r="W51" s="3"/>
      <c r="X51" s="3"/>
      <c r="Y51" s="3"/>
      <c r="Z51" s="3"/>
      <c r="AA51" s="3"/>
      <c r="AB51" s="3"/>
      <c r="AC51" s="3"/>
      <c r="AD51" s="3"/>
      <c r="AE51" s="3"/>
      <c r="AF51" s="3"/>
      <c r="AG51" s="3"/>
      <c r="AH51" s="3"/>
      <c r="AI51" s="3"/>
      <c r="AJ51" s="3"/>
      <c r="AK51" s="3"/>
    </row>
    <row r="52" spans="1:37" s="4" customFormat="1" ht="13.5" customHeight="1" thickBot="1" x14ac:dyDescent="0.3">
      <c r="A52" s="142"/>
      <c r="B52" s="117"/>
      <c r="C52" s="24"/>
      <c r="D52" s="25"/>
      <c r="E52" s="141"/>
      <c r="F52" s="132"/>
      <c r="G52" s="242" t="s">
        <v>446</v>
      </c>
      <c r="H52" s="242"/>
      <c r="I52" s="242"/>
      <c r="J52" s="242"/>
      <c r="K52" s="243"/>
      <c r="L52" s="150">
        <f>SUM(L19:L51)</f>
        <v>9771.6</v>
      </c>
      <c r="M52" s="25"/>
      <c r="N52" s="3"/>
      <c r="O52" s="3"/>
      <c r="P52" s="3"/>
      <c r="Q52" s="3"/>
      <c r="R52" s="3"/>
      <c r="S52" s="3"/>
      <c r="T52" s="3"/>
      <c r="U52" s="3"/>
      <c r="V52" s="3"/>
      <c r="W52" s="3"/>
      <c r="X52" s="3"/>
      <c r="Y52" s="3"/>
      <c r="Z52" s="3"/>
      <c r="AA52" s="3"/>
      <c r="AB52" s="3"/>
      <c r="AC52" s="3"/>
      <c r="AD52" s="3"/>
      <c r="AE52" s="3"/>
      <c r="AF52" s="3"/>
      <c r="AG52" s="3"/>
      <c r="AH52" s="3"/>
      <c r="AI52" s="3"/>
      <c r="AJ52" s="3"/>
      <c r="AK52" s="3"/>
    </row>
    <row r="53" spans="1:37" s="4" customFormat="1" ht="13.5" customHeight="1" x14ac:dyDescent="0.25">
      <c r="A53" s="142"/>
      <c r="B53" s="117"/>
      <c r="C53" s="24"/>
      <c r="D53" s="25"/>
      <c r="E53" s="141"/>
      <c r="F53" s="132"/>
      <c r="G53" s="23"/>
      <c r="H53" s="24"/>
      <c r="I53" s="25"/>
      <c r="J53" s="127"/>
      <c r="K53" s="133"/>
      <c r="L53" s="143"/>
      <c r="M53" s="25"/>
      <c r="N53" s="3"/>
      <c r="O53" s="3"/>
      <c r="P53" s="3"/>
      <c r="Q53" s="3"/>
      <c r="R53" s="3"/>
      <c r="S53" s="3"/>
      <c r="T53" s="3"/>
      <c r="U53" s="3"/>
      <c r="V53" s="3"/>
      <c r="W53" s="3"/>
      <c r="X53" s="3"/>
      <c r="Y53" s="3"/>
      <c r="Z53" s="3"/>
      <c r="AA53" s="3"/>
      <c r="AB53" s="3"/>
      <c r="AC53" s="3"/>
      <c r="AD53" s="3"/>
      <c r="AE53" s="3"/>
      <c r="AF53" s="3"/>
      <c r="AG53" s="3"/>
      <c r="AH53" s="3"/>
      <c r="AI53" s="3"/>
      <c r="AJ53" s="3"/>
      <c r="AK53" s="3"/>
    </row>
    <row r="54" spans="1:37" ht="12.6" thickBot="1" x14ac:dyDescent="0.35">
      <c r="A54" s="246" t="s">
        <v>44</v>
      </c>
      <c r="B54" s="247"/>
      <c r="C54" s="247"/>
      <c r="D54" s="247"/>
      <c r="E54" s="247"/>
      <c r="F54" s="247"/>
      <c r="G54" s="247"/>
      <c r="H54" s="247"/>
      <c r="I54" s="247"/>
      <c r="J54" s="247"/>
      <c r="K54" s="247"/>
      <c r="L54" s="248"/>
      <c r="M54" s="211"/>
    </row>
    <row r="55" spans="1:37" s="10" customFormat="1" outlineLevel="1" x14ac:dyDescent="0.2">
      <c r="A55" s="263">
        <v>1</v>
      </c>
      <c r="B55" s="251" t="s">
        <v>57</v>
      </c>
      <c r="C55" s="254" t="s">
        <v>12</v>
      </c>
      <c r="D55" s="257">
        <v>1</v>
      </c>
      <c r="E55" s="260">
        <v>650</v>
      </c>
      <c r="F55" s="257">
        <f>E55*D55</f>
        <v>650</v>
      </c>
      <c r="G55" s="56" t="s">
        <v>56</v>
      </c>
      <c r="H55" s="70" t="s">
        <v>12</v>
      </c>
      <c r="I55" s="73">
        <f>D55*4*1.2</f>
        <v>4.8</v>
      </c>
      <c r="J55" s="57">
        <v>105</v>
      </c>
      <c r="K55" s="68">
        <f t="shared" ref="K55:K107" si="12">J55*I55</f>
        <v>504</v>
      </c>
      <c r="L55" s="266">
        <f>SUM(K55:K65,F55)</f>
        <v>1462.67</v>
      </c>
      <c r="M55" s="205"/>
      <c r="N55" s="9"/>
      <c r="O55" s="9"/>
      <c r="P55" s="9"/>
      <c r="Q55" s="9"/>
      <c r="R55" s="9"/>
      <c r="S55" s="9"/>
      <c r="T55" s="9"/>
      <c r="U55" s="9"/>
      <c r="V55" s="9"/>
      <c r="W55" s="9"/>
      <c r="X55" s="9"/>
      <c r="Y55" s="9"/>
      <c r="Z55" s="9"/>
      <c r="AA55" s="9"/>
      <c r="AB55" s="9"/>
      <c r="AC55" s="9"/>
      <c r="AD55" s="9"/>
      <c r="AE55" s="9"/>
      <c r="AF55" s="9"/>
      <c r="AG55" s="9"/>
      <c r="AH55" s="9"/>
      <c r="AI55" s="9"/>
      <c r="AJ55" s="9"/>
      <c r="AK55" s="9"/>
    </row>
    <row r="56" spans="1:37" s="10" customFormat="1" outlineLevel="1" x14ac:dyDescent="0.2">
      <c r="A56" s="264"/>
      <c r="B56" s="252"/>
      <c r="C56" s="255"/>
      <c r="D56" s="258"/>
      <c r="E56" s="261"/>
      <c r="F56" s="258"/>
      <c r="G56" s="5" t="s">
        <v>47</v>
      </c>
      <c r="H56" s="71" t="s">
        <v>14</v>
      </c>
      <c r="I56" s="74">
        <f>D55*0.7</f>
        <v>0.7</v>
      </c>
      <c r="J56" s="8">
        <v>40</v>
      </c>
      <c r="K56" s="6">
        <f t="shared" si="12"/>
        <v>28</v>
      </c>
      <c r="L56" s="267"/>
      <c r="M56" s="205"/>
      <c r="N56" s="9"/>
      <c r="O56" s="9"/>
      <c r="P56" s="9"/>
      <c r="Q56" s="9"/>
      <c r="R56" s="9"/>
      <c r="S56" s="9"/>
      <c r="T56" s="9"/>
      <c r="U56" s="9"/>
      <c r="V56" s="9"/>
      <c r="W56" s="9"/>
      <c r="X56" s="9"/>
      <c r="Y56" s="9"/>
      <c r="Z56" s="9"/>
      <c r="AA56" s="9"/>
      <c r="AB56" s="9"/>
      <c r="AC56" s="9"/>
      <c r="AD56" s="9"/>
      <c r="AE56" s="9"/>
      <c r="AF56" s="9"/>
      <c r="AG56" s="9"/>
      <c r="AH56" s="9"/>
      <c r="AI56" s="9"/>
      <c r="AJ56" s="9"/>
      <c r="AK56" s="9"/>
    </row>
    <row r="57" spans="1:37" s="10" customFormat="1" ht="13.5" customHeight="1" outlineLevel="1" x14ac:dyDescent="0.2">
      <c r="A57" s="264"/>
      <c r="B57" s="252"/>
      <c r="C57" s="255"/>
      <c r="D57" s="258"/>
      <c r="E57" s="261"/>
      <c r="F57" s="258"/>
      <c r="G57" s="5" t="s">
        <v>48</v>
      </c>
      <c r="H57" s="71" t="s">
        <v>14</v>
      </c>
      <c r="I57" s="74">
        <f>D55*2</f>
        <v>2</v>
      </c>
      <c r="J57" s="8">
        <v>60</v>
      </c>
      <c r="K57" s="6">
        <f t="shared" si="12"/>
        <v>120</v>
      </c>
      <c r="L57" s="267"/>
      <c r="M57" s="205"/>
      <c r="N57" s="9"/>
      <c r="O57" s="9"/>
      <c r="P57" s="9"/>
      <c r="Q57" s="9"/>
      <c r="R57" s="9"/>
      <c r="S57" s="9"/>
      <c r="T57" s="9"/>
      <c r="U57" s="9"/>
      <c r="V57" s="9"/>
      <c r="W57" s="9"/>
      <c r="X57" s="9"/>
      <c r="Y57" s="9"/>
      <c r="Z57" s="9"/>
      <c r="AA57" s="9"/>
      <c r="AB57" s="9"/>
      <c r="AC57" s="9"/>
      <c r="AD57" s="9"/>
      <c r="AE57" s="9"/>
      <c r="AF57" s="9"/>
      <c r="AG57" s="9"/>
      <c r="AH57" s="9"/>
      <c r="AI57" s="9"/>
      <c r="AJ57" s="9"/>
      <c r="AK57" s="9"/>
    </row>
    <row r="58" spans="1:37" s="10" customFormat="1" outlineLevel="1" x14ac:dyDescent="0.2">
      <c r="A58" s="264"/>
      <c r="B58" s="252"/>
      <c r="C58" s="255"/>
      <c r="D58" s="258"/>
      <c r="E58" s="261"/>
      <c r="F58" s="258"/>
      <c r="G58" s="5" t="s">
        <v>78</v>
      </c>
      <c r="H58" s="71" t="s">
        <v>40</v>
      </c>
      <c r="I58" s="74">
        <f>D55*13</f>
        <v>13</v>
      </c>
      <c r="J58" s="8">
        <v>0.3</v>
      </c>
      <c r="K58" s="6">
        <f t="shared" si="12"/>
        <v>3.9</v>
      </c>
      <c r="L58" s="267"/>
      <c r="M58" s="205"/>
      <c r="N58" s="9"/>
      <c r="O58" s="9"/>
      <c r="P58" s="9"/>
      <c r="Q58" s="9"/>
      <c r="R58" s="9"/>
      <c r="S58" s="9"/>
      <c r="T58" s="9"/>
      <c r="U58" s="9"/>
      <c r="V58" s="9"/>
      <c r="W58" s="9"/>
      <c r="X58" s="9"/>
      <c r="Y58" s="9"/>
      <c r="Z58" s="9"/>
      <c r="AA58" s="9"/>
      <c r="AB58" s="9"/>
      <c r="AC58" s="9"/>
      <c r="AD58" s="9"/>
      <c r="AE58" s="9"/>
      <c r="AF58" s="9"/>
      <c r="AG58" s="9"/>
      <c r="AH58" s="9"/>
      <c r="AI58" s="9"/>
      <c r="AJ58" s="9"/>
      <c r="AK58" s="9"/>
    </row>
    <row r="59" spans="1:37" s="10" customFormat="1" outlineLevel="1" x14ac:dyDescent="0.2">
      <c r="A59" s="264"/>
      <c r="B59" s="252"/>
      <c r="C59" s="255"/>
      <c r="D59" s="258"/>
      <c r="E59" s="261"/>
      <c r="F59" s="258"/>
      <c r="G59" s="5" t="s">
        <v>77</v>
      </c>
      <c r="H59" s="71" t="s">
        <v>40</v>
      </c>
      <c r="I59" s="74">
        <f>D55*29</f>
        <v>29</v>
      </c>
      <c r="J59" s="8">
        <v>0.33</v>
      </c>
      <c r="K59" s="6">
        <f t="shared" si="12"/>
        <v>9.57</v>
      </c>
      <c r="L59" s="267"/>
      <c r="M59" s="205"/>
      <c r="N59" s="9"/>
      <c r="O59" s="9"/>
      <c r="P59" s="9"/>
      <c r="Q59" s="9"/>
      <c r="R59" s="9"/>
      <c r="S59" s="9"/>
      <c r="T59" s="9"/>
      <c r="U59" s="9"/>
      <c r="V59" s="9"/>
      <c r="W59" s="9"/>
      <c r="X59" s="9"/>
      <c r="Y59" s="9"/>
      <c r="Z59" s="9"/>
      <c r="AA59" s="9"/>
      <c r="AB59" s="9"/>
      <c r="AC59" s="9"/>
      <c r="AD59" s="9"/>
      <c r="AE59" s="9"/>
      <c r="AF59" s="9"/>
      <c r="AG59" s="9"/>
      <c r="AH59" s="9"/>
      <c r="AI59" s="9"/>
      <c r="AJ59" s="9"/>
      <c r="AK59" s="9"/>
    </row>
    <row r="60" spans="1:37" s="10" customFormat="1" outlineLevel="1" x14ac:dyDescent="0.2">
      <c r="A60" s="264"/>
      <c r="B60" s="252"/>
      <c r="C60" s="255"/>
      <c r="D60" s="258"/>
      <c r="E60" s="261"/>
      <c r="F60" s="258"/>
      <c r="G60" s="5" t="s">
        <v>49</v>
      </c>
      <c r="H60" s="71" t="s">
        <v>11</v>
      </c>
      <c r="I60" s="74">
        <f>D55</f>
        <v>1</v>
      </c>
      <c r="J60" s="8">
        <v>45</v>
      </c>
      <c r="K60" s="6">
        <f t="shared" si="12"/>
        <v>45</v>
      </c>
      <c r="L60" s="267"/>
      <c r="M60" s="205"/>
      <c r="N60" s="9"/>
      <c r="O60" s="9"/>
      <c r="P60" s="9"/>
      <c r="Q60" s="9"/>
      <c r="R60" s="9"/>
      <c r="S60" s="9"/>
      <c r="T60" s="9"/>
      <c r="U60" s="9"/>
      <c r="V60" s="9"/>
      <c r="W60" s="9"/>
      <c r="X60" s="9"/>
      <c r="Y60" s="9"/>
      <c r="Z60" s="9"/>
      <c r="AA60" s="9"/>
      <c r="AB60" s="9"/>
      <c r="AC60" s="9"/>
      <c r="AD60" s="9"/>
      <c r="AE60" s="9"/>
      <c r="AF60" s="9"/>
      <c r="AG60" s="9"/>
      <c r="AH60" s="9"/>
      <c r="AI60" s="9"/>
      <c r="AJ60" s="9"/>
      <c r="AK60" s="9"/>
    </row>
    <row r="61" spans="1:37" s="10" customFormat="1" outlineLevel="1" x14ac:dyDescent="0.2">
      <c r="A61" s="264"/>
      <c r="B61" s="252"/>
      <c r="C61" s="255"/>
      <c r="D61" s="258"/>
      <c r="E61" s="261"/>
      <c r="F61" s="258"/>
      <c r="G61" s="5" t="s">
        <v>50</v>
      </c>
      <c r="H61" s="71" t="s">
        <v>14</v>
      </c>
      <c r="I61" s="74">
        <f>D55*1.5</f>
        <v>1.5</v>
      </c>
      <c r="J61" s="8">
        <v>4</v>
      </c>
      <c r="K61" s="6">
        <f t="shared" si="12"/>
        <v>6</v>
      </c>
      <c r="L61" s="267"/>
      <c r="M61" s="205"/>
      <c r="N61" s="9"/>
      <c r="O61" s="9"/>
      <c r="P61" s="9"/>
      <c r="Q61" s="9"/>
      <c r="R61" s="9"/>
      <c r="S61" s="9"/>
      <c r="T61" s="9"/>
      <c r="U61" s="9"/>
      <c r="V61" s="9"/>
      <c r="W61" s="9"/>
      <c r="X61" s="9"/>
      <c r="Y61" s="9"/>
      <c r="Z61" s="9"/>
      <c r="AA61" s="9"/>
      <c r="AB61" s="9"/>
      <c r="AC61" s="9"/>
      <c r="AD61" s="9"/>
      <c r="AE61" s="9"/>
      <c r="AF61" s="9"/>
      <c r="AG61" s="9"/>
      <c r="AH61" s="9"/>
      <c r="AI61" s="9"/>
      <c r="AJ61" s="9"/>
      <c r="AK61" s="9"/>
    </row>
    <row r="62" spans="1:37" s="12" customFormat="1" outlineLevel="1" x14ac:dyDescent="0.25">
      <c r="A62" s="264"/>
      <c r="B62" s="252"/>
      <c r="C62" s="255"/>
      <c r="D62" s="258"/>
      <c r="E62" s="261"/>
      <c r="F62" s="258"/>
      <c r="G62" s="5" t="s">
        <v>51</v>
      </c>
      <c r="H62" s="71" t="s">
        <v>40</v>
      </c>
      <c r="I62" s="74">
        <f>D55*2</f>
        <v>2</v>
      </c>
      <c r="J62" s="8">
        <v>2.5</v>
      </c>
      <c r="K62" s="6">
        <f t="shared" si="12"/>
        <v>5</v>
      </c>
      <c r="L62" s="267"/>
      <c r="M62" s="205"/>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1:37" s="12" customFormat="1" outlineLevel="1" x14ac:dyDescent="0.25">
      <c r="A63" s="264"/>
      <c r="B63" s="252"/>
      <c r="C63" s="255"/>
      <c r="D63" s="258"/>
      <c r="E63" s="261"/>
      <c r="F63" s="258"/>
      <c r="G63" s="5" t="s">
        <v>52</v>
      </c>
      <c r="H63" s="71" t="s">
        <v>14</v>
      </c>
      <c r="I63" s="74">
        <f>D55*1.2</f>
        <v>1.2</v>
      </c>
      <c r="J63" s="8">
        <v>4</v>
      </c>
      <c r="K63" s="6">
        <f t="shared" si="12"/>
        <v>4.8</v>
      </c>
      <c r="L63" s="267"/>
      <c r="M63" s="205"/>
      <c r="N63" s="11"/>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1:37" s="12" customFormat="1" outlineLevel="1" x14ac:dyDescent="0.25">
      <c r="A64" s="264"/>
      <c r="B64" s="252"/>
      <c r="C64" s="255"/>
      <c r="D64" s="258"/>
      <c r="E64" s="261"/>
      <c r="F64" s="258"/>
      <c r="G64" s="5" t="s">
        <v>53</v>
      </c>
      <c r="H64" s="71" t="s">
        <v>54</v>
      </c>
      <c r="I64" s="74">
        <f>D55*0.2</f>
        <v>0.2</v>
      </c>
      <c r="J64" s="8">
        <v>42</v>
      </c>
      <c r="K64" s="6">
        <f t="shared" si="12"/>
        <v>8.4</v>
      </c>
      <c r="L64" s="267"/>
      <c r="M64" s="205"/>
      <c r="N64" s="11"/>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1:37" s="12" customFormat="1" ht="12.6" outlineLevel="1" thickBot="1" x14ac:dyDescent="0.3">
      <c r="A65" s="265"/>
      <c r="B65" s="253"/>
      <c r="C65" s="256"/>
      <c r="D65" s="259"/>
      <c r="E65" s="262"/>
      <c r="F65" s="259"/>
      <c r="G65" s="58" t="s">
        <v>55</v>
      </c>
      <c r="H65" s="72" t="s">
        <v>12</v>
      </c>
      <c r="I65" s="75">
        <f>D55*1</f>
        <v>1</v>
      </c>
      <c r="J65" s="59">
        <v>78</v>
      </c>
      <c r="K65" s="60">
        <f t="shared" si="12"/>
        <v>78</v>
      </c>
      <c r="L65" s="268"/>
      <c r="M65" s="205"/>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1:37" s="10" customFormat="1" outlineLevel="1" x14ac:dyDescent="0.2">
      <c r="A66" s="263">
        <v>2</v>
      </c>
      <c r="B66" s="251" t="s">
        <v>188</v>
      </c>
      <c r="C66" s="254" t="s">
        <v>12</v>
      </c>
      <c r="D66" s="257">
        <v>1</v>
      </c>
      <c r="E66" s="260">
        <v>800</v>
      </c>
      <c r="F66" s="257">
        <f>E66*D66</f>
        <v>800</v>
      </c>
      <c r="G66" s="56" t="s">
        <v>56</v>
      </c>
      <c r="H66" s="70" t="s">
        <v>12</v>
      </c>
      <c r="I66" s="73">
        <f>D66*4*1.4</f>
        <v>5.6</v>
      </c>
      <c r="J66" s="57">
        <v>105</v>
      </c>
      <c r="K66" s="68">
        <f t="shared" ref="K66:K76" si="13">J66*I66</f>
        <v>588</v>
      </c>
      <c r="L66" s="266">
        <f>SUM(K66:K76,F66)</f>
        <v>1745.25</v>
      </c>
      <c r="M66" s="205"/>
      <c r="N66" s="9"/>
      <c r="O66" s="9"/>
      <c r="P66" s="9"/>
      <c r="Q66" s="9"/>
      <c r="R66" s="9"/>
      <c r="S66" s="9"/>
      <c r="T66" s="9"/>
      <c r="U66" s="9"/>
      <c r="V66" s="9"/>
      <c r="W66" s="9"/>
      <c r="X66" s="9"/>
      <c r="Y66" s="9"/>
      <c r="Z66" s="9"/>
      <c r="AA66" s="9"/>
      <c r="AB66" s="9"/>
      <c r="AC66" s="9"/>
      <c r="AD66" s="9"/>
      <c r="AE66" s="9"/>
      <c r="AF66" s="9"/>
      <c r="AG66" s="9"/>
      <c r="AH66" s="9"/>
      <c r="AI66" s="9"/>
      <c r="AJ66" s="9"/>
      <c r="AK66" s="9"/>
    </row>
    <row r="67" spans="1:37" s="10" customFormat="1" outlineLevel="1" x14ac:dyDescent="0.2">
      <c r="A67" s="264"/>
      <c r="B67" s="252"/>
      <c r="C67" s="255"/>
      <c r="D67" s="258"/>
      <c r="E67" s="261"/>
      <c r="F67" s="258"/>
      <c r="G67" s="5" t="s">
        <v>47</v>
      </c>
      <c r="H67" s="71" t="s">
        <v>14</v>
      </c>
      <c r="I67" s="74">
        <f>D66*1</f>
        <v>1</v>
      </c>
      <c r="J67" s="8">
        <v>40</v>
      </c>
      <c r="K67" s="6">
        <f t="shared" si="13"/>
        <v>40</v>
      </c>
      <c r="L67" s="267"/>
      <c r="M67" s="205"/>
      <c r="N67" s="9"/>
      <c r="O67" s="9"/>
      <c r="P67" s="9"/>
      <c r="Q67" s="9"/>
      <c r="R67" s="9"/>
      <c r="S67" s="9"/>
      <c r="T67" s="9"/>
      <c r="U67" s="9"/>
      <c r="V67" s="9"/>
      <c r="W67" s="9"/>
      <c r="X67" s="9"/>
      <c r="Y67" s="9"/>
      <c r="Z67" s="9"/>
      <c r="AA67" s="9"/>
      <c r="AB67" s="9"/>
      <c r="AC67" s="9"/>
      <c r="AD67" s="9"/>
      <c r="AE67" s="9"/>
      <c r="AF67" s="9"/>
      <c r="AG67" s="9"/>
      <c r="AH67" s="9"/>
      <c r="AI67" s="9"/>
      <c r="AJ67" s="9"/>
      <c r="AK67" s="9"/>
    </row>
    <row r="68" spans="1:37" s="10" customFormat="1" ht="13.5" customHeight="1" outlineLevel="1" x14ac:dyDescent="0.2">
      <c r="A68" s="264"/>
      <c r="B68" s="252"/>
      <c r="C68" s="255"/>
      <c r="D68" s="258"/>
      <c r="E68" s="261"/>
      <c r="F68" s="258"/>
      <c r="G68" s="5" t="s">
        <v>48</v>
      </c>
      <c r="H68" s="71" t="s">
        <v>14</v>
      </c>
      <c r="I68" s="74">
        <f>D66*2.5</f>
        <v>2.5</v>
      </c>
      <c r="J68" s="8">
        <v>60</v>
      </c>
      <c r="K68" s="6">
        <f t="shared" si="13"/>
        <v>150</v>
      </c>
      <c r="L68" s="267"/>
      <c r="M68" s="205"/>
      <c r="N68" s="9"/>
      <c r="O68" s="9"/>
      <c r="P68" s="9"/>
      <c r="Q68" s="9"/>
      <c r="R68" s="9"/>
      <c r="S68" s="9"/>
      <c r="T68" s="9"/>
      <c r="U68" s="9"/>
      <c r="V68" s="9"/>
      <c r="W68" s="9"/>
      <c r="X68" s="9"/>
      <c r="Y68" s="9"/>
      <c r="Z68" s="9"/>
      <c r="AA68" s="9"/>
      <c r="AB68" s="9"/>
      <c r="AC68" s="9"/>
      <c r="AD68" s="9"/>
      <c r="AE68" s="9"/>
      <c r="AF68" s="9"/>
      <c r="AG68" s="9"/>
      <c r="AH68" s="9"/>
      <c r="AI68" s="9"/>
      <c r="AJ68" s="9"/>
      <c r="AK68" s="9"/>
    </row>
    <row r="69" spans="1:37" s="10" customFormat="1" outlineLevel="1" x14ac:dyDescent="0.2">
      <c r="A69" s="264"/>
      <c r="B69" s="252"/>
      <c r="C69" s="255"/>
      <c r="D69" s="258"/>
      <c r="E69" s="261"/>
      <c r="F69" s="258"/>
      <c r="G69" s="5" t="s">
        <v>78</v>
      </c>
      <c r="H69" s="71" t="s">
        <v>40</v>
      </c>
      <c r="I69" s="74">
        <f>D66*20</f>
        <v>20</v>
      </c>
      <c r="J69" s="8">
        <v>0.3</v>
      </c>
      <c r="K69" s="6">
        <f t="shared" si="13"/>
        <v>6</v>
      </c>
      <c r="L69" s="267"/>
      <c r="M69" s="205"/>
      <c r="N69" s="9"/>
      <c r="O69" s="9"/>
      <c r="P69" s="9"/>
      <c r="Q69" s="9"/>
      <c r="R69" s="9"/>
      <c r="S69" s="9"/>
      <c r="T69" s="9"/>
      <c r="U69" s="9"/>
      <c r="V69" s="9"/>
      <c r="W69" s="9"/>
      <c r="X69" s="9"/>
      <c r="Y69" s="9"/>
      <c r="Z69" s="9"/>
      <c r="AA69" s="9"/>
      <c r="AB69" s="9"/>
      <c r="AC69" s="9"/>
      <c r="AD69" s="9"/>
      <c r="AE69" s="9"/>
      <c r="AF69" s="9"/>
      <c r="AG69" s="9"/>
      <c r="AH69" s="9"/>
      <c r="AI69" s="9"/>
      <c r="AJ69" s="9"/>
      <c r="AK69" s="9"/>
    </row>
    <row r="70" spans="1:37" s="10" customFormat="1" outlineLevel="1" x14ac:dyDescent="0.2">
      <c r="A70" s="264"/>
      <c r="B70" s="252"/>
      <c r="C70" s="255"/>
      <c r="D70" s="258"/>
      <c r="E70" s="261"/>
      <c r="F70" s="258"/>
      <c r="G70" s="5" t="s">
        <v>77</v>
      </c>
      <c r="H70" s="71" t="s">
        <v>40</v>
      </c>
      <c r="I70" s="74">
        <f>D66*35</f>
        <v>35</v>
      </c>
      <c r="J70" s="8">
        <v>0.33</v>
      </c>
      <c r="K70" s="6">
        <f t="shared" si="13"/>
        <v>11.55</v>
      </c>
      <c r="L70" s="267"/>
      <c r="M70" s="205"/>
      <c r="N70" s="9"/>
      <c r="O70" s="9"/>
      <c r="P70" s="9"/>
      <c r="Q70" s="9"/>
      <c r="R70" s="9"/>
      <c r="S70" s="9"/>
      <c r="T70" s="9"/>
      <c r="U70" s="9"/>
      <c r="V70" s="9"/>
      <c r="W70" s="9"/>
      <c r="X70" s="9"/>
      <c r="Y70" s="9"/>
      <c r="Z70" s="9"/>
      <c r="AA70" s="9"/>
      <c r="AB70" s="9"/>
      <c r="AC70" s="9"/>
      <c r="AD70" s="9"/>
      <c r="AE70" s="9"/>
      <c r="AF70" s="9"/>
      <c r="AG70" s="9"/>
      <c r="AH70" s="9"/>
      <c r="AI70" s="9"/>
      <c r="AJ70" s="9"/>
      <c r="AK70" s="9"/>
    </row>
    <row r="71" spans="1:37" s="10" customFormat="1" outlineLevel="1" x14ac:dyDescent="0.2">
      <c r="A71" s="264"/>
      <c r="B71" s="252"/>
      <c r="C71" s="255"/>
      <c r="D71" s="258"/>
      <c r="E71" s="261"/>
      <c r="F71" s="258"/>
      <c r="G71" s="5" t="s">
        <v>49</v>
      </c>
      <c r="H71" s="71" t="s">
        <v>11</v>
      </c>
      <c r="I71" s="74">
        <f>D66</f>
        <v>1</v>
      </c>
      <c r="J71" s="8">
        <v>45</v>
      </c>
      <c r="K71" s="6">
        <f t="shared" si="13"/>
        <v>45</v>
      </c>
      <c r="L71" s="267"/>
      <c r="M71" s="205"/>
      <c r="N71" s="9"/>
      <c r="O71" s="9"/>
      <c r="P71" s="9"/>
      <c r="Q71" s="9"/>
      <c r="R71" s="9"/>
      <c r="S71" s="9"/>
      <c r="T71" s="9"/>
      <c r="U71" s="9"/>
      <c r="V71" s="9"/>
      <c r="W71" s="9"/>
      <c r="X71" s="9"/>
      <c r="Y71" s="9"/>
      <c r="Z71" s="9"/>
      <c r="AA71" s="9"/>
      <c r="AB71" s="9"/>
      <c r="AC71" s="9"/>
      <c r="AD71" s="9"/>
      <c r="AE71" s="9"/>
      <c r="AF71" s="9"/>
      <c r="AG71" s="9"/>
      <c r="AH71" s="9"/>
      <c r="AI71" s="9"/>
      <c r="AJ71" s="9"/>
      <c r="AK71" s="9"/>
    </row>
    <row r="72" spans="1:37" s="10" customFormat="1" outlineLevel="1" x14ac:dyDescent="0.2">
      <c r="A72" s="264"/>
      <c r="B72" s="252"/>
      <c r="C72" s="255"/>
      <c r="D72" s="258"/>
      <c r="E72" s="261"/>
      <c r="F72" s="258"/>
      <c r="G72" s="5" t="s">
        <v>50</v>
      </c>
      <c r="H72" s="71" t="s">
        <v>14</v>
      </c>
      <c r="I72" s="74">
        <f>D66*1.5</f>
        <v>1.5</v>
      </c>
      <c r="J72" s="8">
        <v>4</v>
      </c>
      <c r="K72" s="6">
        <f t="shared" si="13"/>
        <v>6</v>
      </c>
      <c r="L72" s="267"/>
      <c r="M72" s="205"/>
      <c r="N72" s="9"/>
      <c r="O72" s="9"/>
      <c r="P72" s="9"/>
      <c r="Q72" s="9"/>
      <c r="R72" s="9"/>
      <c r="S72" s="9"/>
      <c r="T72" s="9"/>
      <c r="U72" s="9"/>
      <c r="V72" s="9"/>
      <c r="W72" s="9"/>
      <c r="X72" s="9"/>
      <c r="Y72" s="9"/>
      <c r="Z72" s="9"/>
      <c r="AA72" s="9"/>
      <c r="AB72" s="9"/>
      <c r="AC72" s="9"/>
      <c r="AD72" s="9"/>
      <c r="AE72" s="9"/>
      <c r="AF72" s="9"/>
      <c r="AG72" s="9"/>
      <c r="AH72" s="9"/>
      <c r="AI72" s="9"/>
      <c r="AJ72" s="9"/>
      <c r="AK72" s="9"/>
    </row>
    <row r="73" spans="1:37" s="12" customFormat="1" outlineLevel="1" x14ac:dyDescent="0.25">
      <c r="A73" s="264"/>
      <c r="B73" s="252"/>
      <c r="C73" s="255"/>
      <c r="D73" s="258"/>
      <c r="E73" s="261"/>
      <c r="F73" s="258"/>
      <c r="G73" s="5" t="s">
        <v>51</v>
      </c>
      <c r="H73" s="71" t="s">
        <v>40</v>
      </c>
      <c r="I73" s="74">
        <f>D66*3</f>
        <v>3</v>
      </c>
      <c r="J73" s="8">
        <v>2.5</v>
      </c>
      <c r="K73" s="6">
        <f t="shared" si="13"/>
        <v>7.5</v>
      </c>
      <c r="L73" s="267"/>
      <c r="M73" s="205"/>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s="12" customFormat="1" outlineLevel="1" x14ac:dyDescent="0.25">
      <c r="A74" s="264"/>
      <c r="B74" s="252"/>
      <c r="C74" s="255"/>
      <c r="D74" s="258"/>
      <c r="E74" s="261"/>
      <c r="F74" s="258"/>
      <c r="G74" s="5" t="s">
        <v>52</v>
      </c>
      <c r="H74" s="71" t="s">
        <v>14</v>
      </c>
      <c r="I74" s="74">
        <f>D66*1.2</f>
        <v>1.2</v>
      </c>
      <c r="J74" s="8">
        <v>4</v>
      </c>
      <c r="K74" s="6">
        <f t="shared" si="13"/>
        <v>4.8</v>
      </c>
      <c r="L74" s="267"/>
      <c r="M74" s="205"/>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s="12" customFormat="1" outlineLevel="1" x14ac:dyDescent="0.25">
      <c r="A75" s="264"/>
      <c r="B75" s="252"/>
      <c r="C75" s="255"/>
      <c r="D75" s="258"/>
      <c r="E75" s="261"/>
      <c r="F75" s="258"/>
      <c r="G75" s="5" t="s">
        <v>53</v>
      </c>
      <c r="H75" s="71" t="s">
        <v>54</v>
      </c>
      <c r="I75" s="74">
        <f>D66*0.2</f>
        <v>0.2</v>
      </c>
      <c r="J75" s="8">
        <v>42</v>
      </c>
      <c r="K75" s="6">
        <f t="shared" si="13"/>
        <v>8.4</v>
      </c>
      <c r="L75" s="267"/>
      <c r="M75" s="205"/>
      <c r="N75" s="11"/>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1:37" s="12" customFormat="1" ht="12.6" outlineLevel="1" thickBot="1" x14ac:dyDescent="0.3">
      <c r="A76" s="265"/>
      <c r="B76" s="253"/>
      <c r="C76" s="256"/>
      <c r="D76" s="259"/>
      <c r="E76" s="262"/>
      <c r="F76" s="259"/>
      <c r="G76" s="58" t="s">
        <v>55</v>
      </c>
      <c r="H76" s="72" t="s">
        <v>12</v>
      </c>
      <c r="I76" s="75">
        <f>D66*1</f>
        <v>1</v>
      </c>
      <c r="J76" s="59">
        <v>78</v>
      </c>
      <c r="K76" s="60">
        <f t="shared" si="13"/>
        <v>78</v>
      </c>
      <c r="L76" s="268"/>
      <c r="M76" s="205"/>
      <c r="N76" s="11"/>
      <c r="O76" s="11"/>
      <c r="P76" s="11"/>
      <c r="Q76" s="11"/>
      <c r="R76" s="11"/>
      <c r="S76" s="11"/>
      <c r="T76" s="11"/>
      <c r="U76" s="11"/>
      <c r="V76" s="11"/>
      <c r="W76" s="11"/>
      <c r="X76" s="11"/>
      <c r="Y76" s="11"/>
      <c r="Z76" s="11"/>
      <c r="AA76" s="11"/>
      <c r="AB76" s="11"/>
      <c r="AC76" s="11"/>
      <c r="AD76" s="11"/>
      <c r="AE76" s="11"/>
      <c r="AF76" s="11"/>
      <c r="AG76" s="11"/>
      <c r="AH76" s="11"/>
      <c r="AI76" s="11"/>
      <c r="AJ76" s="11"/>
      <c r="AK76" s="11"/>
    </row>
    <row r="77" spans="1:37" s="4" customFormat="1" outlineLevel="1" x14ac:dyDescent="0.25">
      <c r="A77" s="289">
        <v>3</v>
      </c>
      <c r="B77" s="272" t="s">
        <v>114</v>
      </c>
      <c r="C77" s="254" t="s">
        <v>12</v>
      </c>
      <c r="D77" s="257">
        <v>1</v>
      </c>
      <c r="E77" s="260">
        <v>520</v>
      </c>
      <c r="F77" s="257">
        <f>E77*D77</f>
        <v>520</v>
      </c>
      <c r="G77" s="56" t="s">
        <v>56</v>
      </c>
      <c r="H77" s="70" t="s">
        <v>12</v>
      </c>
      <c r="I77" s="73">
        <f>D77*2.2*1.2</f>
        <v>2.64</v>
      </c>
      <c r="J77" s="57">
        <v>105</v>
      </c>
      <c r="K77" s="68">
        <f t="shared" si="12"/>
        <v>277.2</v>
      </c>
      <c r="L77" s="269">
        <f>SUM(K77:K87,F77)</f>
        <v>1068.54</v>
      </c>
      <c r="M77" s="206"/>
      <c r="N77" s="3"/>
      <c r="O77" s="3"/>
      <c r="P77" s="3"/>
      <c r="Q77" s="3"/>
      <c r="R77" s="3"/>
      <c r="S77" s="3"/>
      <c r="T77" s="3"/>
      <c r="U77" s="3"/>
      <c r="V77" s="3"/>
      <c r="W77" s="3"/>
      <c r="X77" s="3"/>
      <c r="Y77" s="3"/>
      <c r="Z77" s="3"/>
      <c r="AA77" s="3"/>
      <c r="AB77" s="3"/>
      <c r="AC77" s="3"/>
      <c r="AD77" s="3"/>
      <c r="AE77" s="3"/>
      <c r="AF77" s="3"/>
      <c r="AG77" s="3"/>
      <c r="AH77" s="3"/>
      <c r="AI77" s="3"/>
      <c r="AJ77" s="3"/>
      <c r="AK77" s="3"/>
    </row>
    <row r="78" spans="1:37" s="4" customFormat="1" outlineLevel="1" x14ac:dyDescent="0.25">
      <c r="A78" s="325"/>
      <c r="B78" s="273"/>
      <c r="C78" s="255"/>
      <c r="D78" s="258"/>
      <c r="E78" s="261"/>
      <c r="F78" s="258"/>
      <c r="G78" s="5" t="s">
        <v>47</v>
      </c>
      <c r="H78" s="71" t="s">
        <v>14</v>
      </c>
      <c r="I78" s="74">
        <f>D77*0.7</f>
        <v>0.7</v>
      </c>
      <c r="J78" s="8">
        <v>40</v>
      </c>
      <c r="K78" s="6">
        <f t="shared" si="12"/>
        <v>28</v>
      </c>
      <c r="L78" s="270"/>
      <c r="M78" s="206"/>
      <c r="N78" s="3"/>
      <c r="O78" s="3"/>
      <c r="P78" s="3"/>
      <c r="Q78" s="3"/>
      <c r="R78" s="3"/>
      <c r="S78" s="3"/>
      <c r="T78" s="3"/>
      <c r="U78" s="3"/>
      <c r="V78" s="3"/>
      <c r="W78" s="3"/>
      <c r="X78" s="3"/>
      <c r="Y78" s="3"/>
      <c r="Z78" s="3"/>
      <c r="AA78" s="3"/>
      <c r="AB78" s="3"/>
      <c r="AC78" s="3"/>
      <c r="AD78" s="3"/>
      <c r="AE78" s="3"/>
      <c r="AF78" s="3"/>
      <c r="AG78" s="3"/>
      <c r="AH78" s="3"/>
      <c r="AI78" s="3"/>
      <c r="AJ78" s="3"/>
      <c r="AK78" s="3"/>
    </row>
    <row r="79" spans="1:37" s="4" customFormat="1" ht="12.75" customHeight="1" outlineLevel="1" x14ac:dyDescent="0.25">
      <c r="A79" s="325"/>
      <c r="B79" s="273"/>
      <c r="C79" s="255"/>
      <c r="D79" s="258"/>
      <c r="E79" s="261"/>
      <c r="F79" s="258"/>
      <c r="G79" s="5" t="s">
        <v>48</v>
      </c>
      <c r="H79" s="71" t="s">
        <v>14</v>
      </c>
      <c r="I79" s="74">
        <f>D77*2</f>
        <v>2</v>
      </c>
      <c r="J79" s="8">
        <v>60</v>
      </c>
      <c r="K79" s="6">
        <f t="shared" si="12"/>
        <v>120</v>
      </c>
      <c r="L79" s="270"/>
      <c r="M79" s="206"/>
      <c r="N79" s="3"/>
      <c r="O79" s="3"/>
      <c r="P79" s="3"/>
      <c r="Q79" s="3"/>
      <c r="R79" s="3"/>
      <c r="S79" s="3"/>
      <c r="T79" s="3"/>
      <c r="U79" s="3"/>
      <c r="V79" s="3"/>
      <c r="W79" s="3"/>
      <c r="X79" s="3"/>
      <c r="Y79" s="3"/>
      <c r="Z79" s="3"/>
      <c r="AA79" s="3"/>
      <c r="AB79" s="3"/>
      <c r="AC79" s="3"/>
      <c r="AD79" s="3"/>
      <c r="AE79" s="3"/>
      <c r="AF79" s="3"/>
      <c r="AG79" s="3"/>
      <c r="AH79" s="3"/>
      <c r="AI79" s="3"/>
      <c r="AJ79" s="3"/>
      <c r="AK79" s="3"/>
    </row>
    <row r="80" spans="1:37" s="4" customFormat="1" outlineLevel="1" x14ac:dyDescent="0.25">
      <c r="A80" s="325"/>
      <c r="B80" s="273"/>
      <c r="C80" s="255"/>
      <c r="D80" s="258"/>
      <c r="E80" s="261"/>
      <c r="F80" s="258"/>
      <c r="G80" s="5" t="s">
        <v>78</v>
      </c>
      <c r="H80" s="71" t="s">
        <v>40</v>
      </c>
      <c r="I80" s="74">
        <f>D77*6</f>
        <v>6</v>
      </c>
      <c r="J80" s="8">
        <v>0.3</v>
      </c>
      <c r="K80" s="6">
        <f t="shared" si="12"/>
        <v>1.7999999999999998</v>
      </c>
      <c r="L80" s="270"/>
      <c r="M80" s="206"/>
      <c r="N80" s="3"/>
      <c r="O80" s="3"/>
      <c r="P80" s="3"/>
      <c r="Q80" s="3"/>
      <c r="R80" s="3"/>
      <c r="S80" s="3"/>
      <c r="T80" s="3"/>
      <c r="U80" s="3"/>
      <c r="V80" s="3"/>
      <c r="W80" s="3"/>
      <c r="X80" s="3"/>
      <c r="Y80" s="3"/>
      <c r="Z80" s="3"/>
      <c r="AA80" s="3"/>
      <c r="AB80" s="3"/>
      <c r="AC80" s="3"/>
      <c r="AD80" s="3"/>
      <c r="AE80" s="3"/>
      <c r="AF80" s="3"/>
      <c r="AG80" s="3"/>
      <c r="AH80" s="3"/>
      <c r="AI80" s="3"/>
      <c r="AJ80" s="3"/>
      <c r="AK80" s="3"/>
    </row>
    <row r="81" spans="1:37" s="4" customFormat="1" outlineLevel="1" x14ac:dyDescent="0.25">
      <c r="A81" s="325"/>
      <c r="B81" s="273"/>
      <c r="C81" s="255"/>
      <c r="D81" s="258"/>
      <c r="E81" s="261"/>
      <c r="F81" s="258"/>
      <c r="G81" s="5" t="s">
        <v>79</v>
      </c>
      <c r="H81" s="71" t="s">
        <v>40</v>
      </c>
      <c r="I81" s="74">
        <f>D77*14</f>
        <v>14</v>
      </c>
      <c r="J81" s="8">
        <v>0.33</v>
      </c>
      <c r="K81" s="6">
        <f t="shared" si="12"/>
        <v>4.62</v>
      </c>
      <c r="L81" s="270"/>
      <c r="M81" s="206"/>
      <c r="N81" s="3"/>
      <c r="O81" s="3"/>
      <c r="P81" s="3"/>
      <c r="Q81" s="3"/>
      <c r="R81" s="3"/>
      <c r="S81" s="3"/>
      <c r="T81" s="3"/>
      <c r="U81" s="3"/>
      <c r="V81" s="3"/>
      <c r="W81" s="3"/>
      <c r="X81" s="3"/>
      <c r="Y81" s="3"/>
      <c r="Z81" s="3"/>
      <c r="AA81" s="3"/>
      <c r="AB81" s="3"/>
      <c r="AC81" s="3"/>
      <c r="AD81" s="3"/>
      <c r="AE81" s="3"/>
      <c r="AF81" s="3"/>
      <c r="AG81" s="3"/>
      <c r="AH81" s="3"/>
      <c r="AI81" s="3"/>
      <c r="AJ81" s="3"/>
      <c r="AK81" s="3"/>
    </row>
    <row r="82" spans="1:37" s="4" customFormat="1" outlineLevel="1" x14ac:dyDescent="0.25">
      <c r="A82" s="325"/>
      <c r="B82" s="273"/>
      <c r="C82" s="255"/>
      <c r="D82" s="258"/>
      <c r="E82" s="261"/>
      <c r="F82" s="258"/>
      <c r="G82" s="5" t="s">
        <v>49</v>
      </c>
      <c r="H82" s="71" t="s">
        <v>11</v>
      </c>
      <c r="I82" s="74">
        <f>D77*0.5</f>
        <v>0.5</v>
      </c>
      <c r="J82" s="8">
        <v>45</v>
      </c>
      <c r="K82" s="6">
        <f t="shared" si="12"/>
        <v>22.5</v>
      </c>
      <c r="L82" s="270"/>
      <c r="M82" s="206"/>
      <c r="N82" s="3"/>
      <c r="O82" s="3"/>
      <c r="P82" s="3"/>
      <c r="Q82" s="3"/>
      <c r="R82" s="3"/>
      <c r="S82" s="3"/>
      <c r="T82" s="3"/>
      <c r="U82" s="3"/>
      <c r="V82" s="3"/>
      <c r="W82" s="3"/>
      <c r="X82" s="3"/>
      <c r="Y82" s="3"/>
      <c r="Z82" s="3"/>
      <c r="AA82" s="3"/>
      <c r="AB82" s="3"/>
      <c r="AC82" s="3"/>
      <c r="AD82" s="3"/>
      <c r="AE82" s="3"/>
      <c r="AF82" s="3"/>
      <c r="AG82" s="3"/>
      <c r="AH82" s="3"/>
      <c r="AI82" s="3"/>
      <c r="AJ82" s="3"/>
      <c r="AK82" s="3"/>
    </row>
    <row r="83" spans="1:37" s="4" customFormat="1" outlineLevel="1" x14ac:dyDescent="0.25">
      <c r="A83" s="325"/>
      <c r="B83" s="273"/>
      <c r="C83" s="255"/>
      <c r="D83" s="258"/>
      <c r="E83" s="261"/>
      <c r="F83" s="258"/>
      <c r="G83" s="5" t="s">
        <v>50</v>
      </c>
      <c r="H83" s="71" t="s">
        <v>14</v>
      </c>
      <c r="I83" s="74">
        <f>D77*0.75</f>
        <v>0.75</v>
      </c>
      <c r="J83" s="8">
        <v>4</v>
      </c>
      <c r="K83" s="6">
        <f t="shared" si="12"/>
        <v>3</v>
      </c>
      <c r="L83" s="270"/>
      <c r="M83" s="206"/>
      <c r="N83" s="3"/>
      <c r="O83" s="3"/>
      <c r="P83" s="3"/>
      <c r="Q83" s="3"/>
      <c r="R83" s="3"/>
      <c r="S83" s="3"/>
      <c r="T83" s="3"/>
      <c r="U83" s="3"/>
      <c r="V83" s="3"/>
      <c r="W83" s="3"/>
      <c r="X83" s="3"/>
      <c r="Y83" s="3"/>
      <c r="Z83" s="3"/>
      <c r="AA83" s="3"/>
      <c r="AB83" s="3"/>
      <c r="AC83" s="3"/>
      <c r="AD83" s="3"/>
      <c r="AE83" s="3"/>
      <c r="AF83" s="3"/>
      <c r="AG83" s="3"/>
      <c r="AH83" s="3"/>
      <c r="AI83" s="3"/>
      <c r="AJ83" s="3"/>
      <c r="AK83" s="3"/>
    </row>
    <row r="84" spans="1:37" s="4" customFormat="1" outlineLevel="1" x14ac:dyDescent="0.25">
      <c r="A84" s="325"/>
      <c r="B84" s="273"/>
      <c r="C84" s="255"/>
      <c r="D84" s="258"/>
      <c r="E84" s="261"/>
      <c r="F84" s="258"/>
      <c r="G84" s="5" t="s">
        <v>51</v>
      </c>
      <c r="H84" s="71" t="s">
        <v>40</v>
      </c>
      <c r="I84" s="74">
        <f>D77*1.6</f>
        <v>1.6</v>
      </c>
      <c r="J84" s="8">
        <v>2.5</v>
      </c>
      <c r="K84" s="6">
        <f t="shared" si="12"/>
        <v>4</v>
      </c>
      <c r="L84" s="270"/>
      <c r="M84" s="206"/>
      <c r="N84" s="3"/>
      <c r="O84" s="3"/>
      <c r="P84" s="3"/>
      <c r="Q84" s="3"/>
      <c r="R84" s="3"/>
      <c r="S84" s="3"/>
      <c r="T84" s="3"/>
      <c r="U84" s="3"/>
      <c r="V84" s="3"/>
      <c r="W84" s="3"/>
      <c r="X84" s="3"/>
      <c r="Y84" s="3"/>
      <c r="Z84" s="3"/>
      <c r="AA84" s="3"/>
      <c r="AB84" s="3"/>
      <c r="AC84" s="3"/>
      <c r="AD84" s="3"/>
      <c r="AE84" s="3"/>
      <c r="AF84" s="3"/>
      <c r="AG84" s="3"/>
      <c r="AH84" s="3"/>
      <c r="AI84" s="3"/>
      <c r="AJ84" s="3"/>
      <c r="AK84" s="3"/>
    </row>
    <row r="85" spans="1:37" s="4" customFormat="1" outlineLevel="1" x14ac:dyDescent="0.25">
      <c r="A85" s="325"/>
      <c r="B85" s="273"/>
      <c r="C85" s="255"/>
      <c r="D85" s="258"/>
      <c r="E85" s="261"/>
      <c r="F85" s="258"/>
      <c r="G85" s="5" t="s">
        <v>52</v>
      </c>
      <c r="H85" s="71" t="s">
        <v>14</v>
      </c>
      <c r="I85" s="74">
        <f>D77*1.2</f>
        <v>1.2</v>
      </c>
      <c r="J85" s="8">
        <v>4</v>
      </c>
      <c r="K85" s="6">
        <f t="shared" si="12"/>
        <v>4.8</v>
      </c>
      <c r="L85" s="270"/>
      <c r="M85" s="206"/>
      <c r="N85" s="3"/>
      <c r="O85" s="3"/>
      <c r="P85" s="3"/>
      <c r="Q85" s="3"/>
      <c r="R85" s="3"/>
      <c r="S85" s="3"/>
      <c r="T85" s="3"/>
      <c r="U85" s="3"/>
      <c r="V85" s="3"/>
      <c r="W85" s="3"/>
      <c r="X85" s="3"/>
      <c r="Y85" s="3"/>
      <c r="Z85" s="3"/>
      <c r="AA85" s="3"/>
      <c r="AB85" s="3"/>
      <c r="AC85" s="3"/>
      <c r="AD85" s="3"/>
      <c r="AE85" s="3"/>
      <c r="AF85" s="3"/>
      <c r="AG85" s="3"/>
      <c r="AH85" s="3"/>
      <c r="AI85" s="3"/>
      <c r="AJ85" s="3"/>
      <c r="AK85" s="3"/>
    </row>
    <row r="86" spans="1:37" s="4" customFormat="1" outlineLevel="1" x14ac:dyDescent="0.25">
      <c r="A86" s="325"/>
      <c r="B86" s="273"/>
      <c r="C86" s="255"/>
      <c r="D86" s="258"/>
      <c r="E86" s="261"/>
      <c r="F86" s="258"/>
      <c r="G86" s="5" t="s">
        <v>53</v>
      </c>
      <c r="H86" s="71" t="s">
        <v>54</v>
      </c>
      <c r="I86" s="74">
        <f>D77*0.11</f>
        <v>0.11</v>
      </c>
      <c r="J86" s="8">
        <v>42</v>
      </c>
      <c r="K86" s="6">
        <f t="shared" si="12"/>
        <v>4.62</v>
      </c>
      <c r="L86" s="270"/>
      <c r="M86" s="206"/>
      <c r="N86" s="3"/>
      <c r="O86" s="3"/>
      <c r="P86" s="3"/>
      <c r="Q86" s="3"/>
      <c r="R86" s="3"/>
      <c r="S86" s="3"/>
      <c r="T86" s="3"/>
      <c r="U86" s="3"/>
      <c r="V86" s="3"/>
      <c r="W86" s="3"/>
      <c r="X86" s="3"/>
      <c r="Y86" s="3"/>
      <c r="Z86" s="3"/>
      <c r="AA86" s="3"/>
      <c r="AB86" s="3"/>
      <c r="AC86" s="3"/>
      <c r="AD86" s="3"/>
      <c r="AE86" s="3"/>
      <c r="AF86" s="3"/>
      <c r="AG86" s="3"/>
      <c r="AH86" s="3"/>
      <c r="AI86" s="3"/>
      <c r="AJ86" s="3"/>
      <c r="AK86" s="3"/>
    </row>
    <row r="87" spans="1:37" s="4" customFormat="1" ht="12.6" outlineLevel="1" thickBot="1" x14ac:dyDescent="0.3">
      <c r="A87" s="290"/>
      <c r="B87" s="274"/>
      <c r="C87" s="256"/>
      <c r="D87" s="259"/>
      <c r="E87" s="262"/>
      <c r="F87" s="259"/>
      <c r="G87" s="58" t="s">
        <v>55</v>
      </c>
      <c r="H87" s="72" t="s">
        <v>12</v>
      </c>
      <c r="I87" s="75">
        <f>D77</f>
        <v>1</v>
      </c>
      <c r="J87" s="59">
        <v>78</v>
      </c>
      <c r="K87" s="60">
        <f t="shared" si="12"/>
        <v>78</v>
      </c>
      <c r="L87" s="271"/>
      <c r="M87" s="206"/>
      <c r="N87" s="3"/>
      <c r="O87" s="3"/>
      <c r="P87" s="3"/>
      <c r="Q87" s="3"/>
      <c r="R87" s="3"/>
      <c r="S87" s="3"/>
      <c r="T87" s="3"/>
      <c r="U87" s="3"/>
      <c r="V87" s="3"/>
      <c r="W87" s="3"/>
      <c r="X87" s="3"/>
      <c r="Y87" s="3"/>
      <c r="Z87" s="3"/>
      <c r="AA87" s="3"/>
      <c r="AB87" s="3"/>
      <c r="AC87" s="3"/>
      <c r="AD87" s="3"/>
      <c r="AE87" s="3"/>
      <c r="AF87" s="3"/>
      <c r="AG87" s="3"/>
      <c r="AH87" s="3"/>
      <c r="AI87" s="3"/>
      <c r="AJ87" s="3"/>
      <c r="AK87" s="3"/>
    </row>
    <row r="88" spans="1:37" s="4" customFormat="1" outlineLevel="1" x14ac:dyDescent="0.25">
      <c r="A88" s="289">
        <v>4</v>
      </c>
      <c r="B88" s="272" t="s">
        <v>109</v>
      </c>
      <c r="C88" s="254" t="s">
        <v>12</v>
      </c>
      <c r="D88" s="257">
        <v>1</v>
      </c>
      <c r="E88" s="260">
        <v>480</v>
      </c>
      <c r="F88" s="257">
        <f>E88*D88</f>
        <v>480</v>
      </c>
      <c r="G88" s="56" t="s">
        <v>56</v>
      </c>
      <c r="H88" s="70" t="s">
        <v>12</v>
      </c>
      <c r="I88" s="73">
        <f>D88*2.2*1.2</f>
        <v>2.64</v>
      </c>
      <c r="J88" s="57">
        <v>105</v>
      </c>
      <c r="K88" s="68">
        <f t="shared" ref="K88:K100" si="14">J88*I88</f>
        <v>277.2</v>
      </c>
      <c r="L88" s="269">
        <f>SUM(K88:K100,F88)</f>
        <v>1106.73</v>
      </c>
      <c r="M88" s="206"/>
      <c r="N88" s="3"/>
      <c r="O88" s="3"/>
      <c r="P88" s="3"/>
      <c r="Q88" s="3"/>
      <c r="R88" s="3"/>
      <c r="S88" s="3"/>
      <c r="T88" s="3"/>
      <c r="U88" s="3"/>
      <c r="V88" s="3"/>
      <c r="W88" s="3"/>
      <c r="X88" s="3"/>
      <c r="Y88" s="3"/>
      <c r="Z88" s="3"/>
      <c r="AA88" s="3"/>
      <c r="AB88" s="3"/>
      <c r="AC88" s="3"/>
      <c r="AD88" s="3"/>
      <c r="AE88" s="3"/>
      <c r="AF88" s="3"/>
      <c r="AG88" s="3"/>
      <c r="AH88" s="3"/>
      <c r="AI88" s="3"/>
      <c r="AJ88" s="3"/>
      <c r="AK88" s="3"/>
    </row>
    <row r="89" spans="1:37" s="4" customFormat="1" outlineLevel="1" x14ac:dyDescent="0.25">
      <c r="A89" s="325"/>
      <c r="B89" s="273"/>
      <c r="C89" s="255"/>
      <c r="D89" s="258"/>
      <c r="E89" s="261"/>
      <c r="F89" s="258"/>
      <c r="G89" s="5" t="s">
        <v>110</v>
      </c>
      <c r="H89" s="71" t="s">
        <v>14</v>
      </c>
      <c r="I89" s="74">
        <f>D88*2.2</f>
        <v>2.2000000000000002</v>
      </c>
      <c r="J89" s="8">
        <v>40</v>
      </c>
      <c r="K89" s="6">
        <f t="shared" si="14"/>
        <v>88</v>
      </c>
      <c r="L89" s="270"/>
      <c r="M89" s="206"/>
      <c r="N89" s="3"/>
      <c r="O89" s="3"/>
      <c r="P89" s="3"/>
      <c r="Q89" s="3"/>
      <c r="R89" s="3"/>
      <c r="S89" s="3"/>
      <c r="T89" s="3"/>
      <c r="U89" s="3"/>
      <c r="V89" s="3"/>
      <c r="W89" s="3"/>
      <c r="X89" s="3"/>
      <c r="Y89" s="3"/>
      <c r="Z89" s="3"/>
      <c r="AA89" s="3"/>
      <c r="AB89" s="3"/>
      <c r="AC89" s="3"/>
      <c r="AD89" s="3"/>
      <c r="AE89" s="3"/>
      <c r="AF89" s="3"/>
      <c r="AG89" s="3"/>
      <c r="AH89" s="3"/>
      <c r="AI89" s="3"/>
      <c r="AJ89" s="3"/>
      <c r="AK89" s="3"/>
    </row>
    <row r="90" spans="1:37" s="4" customFormat="1" outlineLevel="1" x14ac:dyDescent="0.25">
      <c r="A90" s="325"/>
      <c r="B90" s="273"/>
      <c r="C90" s="255"/>
      <c r="D90" s="258"/>
      <c r="E90" s="261"/>
      <c r="F90" s="258"/>
      <c r="G90" s="5" t="s">
        <v>111</v>
      </c>
      <c r="H90" s="71" t="s">
        <v>40</v>
      </c>
      <c r="I90" s="74">
        <f>D88*2</f>
        <v>2</v>
      </c>
      <c r="J90" s="8">
        <v>60</v>
      </c>
      <c r="K90" s="6">
        <f t="shared" si="14"/>
        <v>120</v>
      </c>
      <c r="L90" s="270"/>
      <c r="M90" s="206"/>
      <c r="N90" s="3"/>
      <c r="O90" s="3"/>
      <c r="P90" s="3"/>
      <c r="Q90" s="3"/>
      <c r="R90" s="3"/>
      <c r="S90" s="3"/>
      <c r="T90" s="3"/>
      <c r="U90" s="3"/>
      <c r="V90" s="3"/>
      <c r="W90" s="3"/>
      <c r="X90" s="3"/>
      <c r="Y90" s="3"/>
      <c r="Z90" s="3"/>
      <c r="AA90" s="3"/>
      <c r="AB90" s="3"/>
      <c r="AC90" s="3"/>
      <c r="AD90" s="3"/>
      <c r="AE90" s="3"/>
      <c r="AF90" s="3"/>
      <c r="AG90" s="3"/>
      <c r="AH90" s="3"/>
      <c r="AI90" s="3"/>
      <c r="AJ90" s="3"/>
      <c r="AK90" s="3"/>
    </row>
    <row r="91" spans="1:37" s="4" customFormat="1" outlineLevel="1" x14ac:dyDescent="0.25">
      <c r="A91" s="325"/>
      <c r="B91" s="273"/>
      <c r="C91" s="255"/>
      <c r="D91" s="258"/>
      <c r="E91" s="261"/>
      <c r="F91" s="258"/>
      <c r="G91" s="5" t="s">
        <v>112</v>
      </c>
      <c r="H91" s="71" t="s">
        <v>40</v>
      </c>
      <c r="I91" s="74">
        <f>D88*0.9</f>
        <v>0.9</v>
      </c>
      <c r="J91" s="8">
        <v>8</v>
      </c>
      <c r="K91" s="6">
        <f t="shared" si="14"/>
        <v>7.2</v>
      </c>
      <c r="L91" s="270"/>
      <c r="M91" s="206"/>
      <c r="N91" s="3"/>
      <c r="O91" s="3"/>
      <c r="P91" s="3"/>
      <c r="Q91" s="3"/>
      <c r="R91" s="3"/>
      <c r="S91" s="3"/>
      <c r="T91" s="3"/>
      <c r="U91" s="3"/>
      <c r="V91" s="3"/>
      <c r="W91" s="3"/>
      <c r="X91" s="3"/>
      <c r="Y91" s="3"/>
      <c r="Z91" s="3"/>
      <c r="AA91" s="3"/>
      <c r="AB91" s="3"/>
      <c r="AC91" s="3"/>
      <c r="AD91" s="3"/>
      <c r="AE91" s="3"/>
      <c r="AF91" s="3"/>
      <c r="AG91" s="3"/>
      <c r="AH91" s="3"/>
      <c r="AI91" s="3"/>
      <c r="AJ91" s="3"/>
      <c r="AK91" s="3"/>
    </row>
    <row r="92" spans="1:37" s="4" customFormat="1" outlineLevel="1" x14ac:dyDescent="0.25">
      <c r="A92" s="325"/>
      <c r="B92" s="273"/>
      <c r="C92" s="255"/>
      <c r="D92" s="258"/>
      <c r="E92" s="261"/>
      <c r="F92" s="258"/>
      <c r="G92" s="5" t="s">
        <v>52</v>
      </c>
      <c r="H92" s="71" t="s">
        <v>14</v>
      </c>
      <c r="I92" s="74">
        <f>D88*1</f>
        <v>1</v>
      </c>
      <c r="J92" s="8">
        <v>4</v>
      </c>
      <c r="K92" s="6">
        <f>J92*I92</f>
        <v>4</v>
      </c>
      <c r="L92" s="270"/>
      <c r="M92" s="206"/>
      <c r="N92" s="3"/>
      <c r="O92" s="3"/>
      <c r="P92" s="3"/>
      <c r="Q92" s="3"/>
      <c r="R92" s="3"/>
      <c r="S92" s="3"/>
      <c r="T92" s="3"/>
      <c r="U92" s="3"/>
      <c r="V92" s="3"/>
      <c r="W92" s="3"/>
      <c r="X92" s="3"/>
      <c r="Y92" s="3"/>
      <c r="Z92" s="3"/>
      <c r="AA92" s="3"/>
      <c r="AB92" s="3"/>
      <c r="AC92" s="3"/>
      <c r="AD92" s="3"/>
      <c r="AE92" s="3"/>
      <c r="AF92" s="3"/>
      <c r="AG92" s="3"/>
      <c r="AH92" s="3"/>
      <c r="AI92" s="3"/>
      <c r="AJ92" s="3"/>
      <c r="AK92" s="3"/>
    </row>
    <row r="93" spans="1:37" s="4" customFormat="1" outlineLevel="1" x14ac:dyDescent="0.25">
      <c r="A93" s="325"/>
      <c r="B93" s="273"/>
      <c r="C93" s="255"/>
      <c r="D93" s="258"/>
      <c r="E93" s="261"/>
      <c r="F93" s="258"/>
      <c r="G93" s="5" t="s">
        <v>51</v>
      </c>
      <c r="H93" s="71" t="s">
        <v>40</v>
      </c>
      <c r="I93" s="74">
        <f>D88*1.6</f>
        <v>1.6</v>
      </c>
      <c r="J93" s="8">
        <v>2.5</v>
      </c>
      <c r="K93" s="6">
        <f>J93*I93</f>
        <v>4</v>
      </c>
      <c r="L93" s="270"/>
      <c r="M93" s="206"/>
      <c r="N93" s="3"/>
      <c r="O93" s="3"/>
      <c r="P93" s="3"/>
      <c r="Q93" s="3"/>
      <c r="R93" s="3"/>
      <c r="S93" s="3"/>
      <c r="T93" s="3"/>
      <c r="U93" s="3"/>
      <c r="V93" s="3"/>
      <c r="W93" s="3"/>
      <c r="X93" s="3"/>
      <c r="Y93" s="3"/>
      <c r="Z93" s="3"/>
      <c r="AA93" s="3"/>
      <c r="AB93" s="3"/>
      <c r="AC93" s="3"/>
      <c r="AD93" s="3"/>
      <c r="AE93" s="3"/>
      <c r="AF93" s="3"/>
      <c r="AG93" s="3"/>
      <c r="AH93" s="3"/>
      <c r="AI93" s="3"/>
      <c r="AJ93" s="3"/>
      <c r="AK93" s="3"/>
    </row>
    <row r="94" spans="1:37" s="4" customFormat="1" outlineLevel="1" x14ac:dyDescent="0.25">
      <c r="A94" s="325"/>
      <c r="B94" s="273"/>
      <c r="C94" s="255"/>
      <c r="D94" s="258"/>
      <c r="E94" s="261"/>
      <c r="F94" s="258"/>
      <c r="G94" s="5" t="s">
        <v>113</v>
      </c>
      <c r="H94" s="71" t="s">
        <v>40</v>
      </c>
      <c r="I94" s="74">
        <f>D88*1.8</f>
        <v>1.8</v>
      </c>
      <c r="J94" s="8">
        <v>0.2</v>
      </c>
      <c r="K94" s="6">
        <f>J94*I94</f>
        <v>0.36000000000000004</v>
      </c>
      <c r="L94" s="270"/>
      <c r="M94" s="206"/>
      <c r="N94" s="3"/>
      <c r="O94" s="3"/>
      <c r="P94" s="3"/>
      <c r="Q94" s="3"/>
      <c r="R94" s="3"/>
      <c r="S94" s="3"/>
      <c r="T94" s="3"/>
      <c r="U94" s="3"/>
      <c r="V94" s="3"/>
      <c r="W94" s="3"/>
      <c r="X94" s="3"/>
      <c r="Y94" s="3"/>
      <c r="Z94" s="3"/>
      <c r="AA94" s="3"/>
      <c r="AB94" s="3"/>
      <c r="AC94" s="3"/>
      <c r="AD94" s="3"/>
      <c r="AE94" s="3"/>
      <c r="AF94" s="3"/>
      <c r="AG94" s="3"/>
      <c r="AH94" s="3"/>
      <c r="AI94" s="3"/>
      <c r="AJ94" s="3"/>
      <c r="AK94" s="3"/>
    </row>
    <row r="95" spans="1:37" s="4" customFormat="1" outlineLevel="1" x14ac:dyDescent="0.25">
      <c r="A95" s="325"/>
      <c r="B95" s="273"/>
      <c r="C95" s="255"/>
      <c r="D95" s="258"/>
      <c r="E95" s="261"/>
      <c r="F95" s="258"/>
      <c r="G95" s="5" t="s">
        <v>78</v>
      </c>
      <c r="H95" s="71" t="s">
        <v>40</v>
      </c>
      <c r="I95" s="74">
        <f>D88*8</f>
        <v>8</v>
      </c>
      <c r="J95" s="8">
        <v>0.2</v>
      </c>
      <c r="K95" s="6">
        <f t="shared" si="14"/>
        <v>1.6</v>
      </c>
      <c r="L95" s="270"/>
      <c r="M95" s="206"/>
      <c r="N95" s="3"/>
      <c r="O95" s="3"/>
      <c r="P95" s="3"/>
      <c r="Q95" s="3"/>
      <c r="R95" s="3"/>
      <c r="S95" s="3"/>
      <c r="T95" s="3"/>
      <c r="U95" s="3"/>
      <c r="V95" s="3"/>
      <c r="W95" s="3"/>
      <c r="X95" s="3"/>
      <c r="Y95" s="3"/>
      <c r="Z95" s="3"/>
      <c r="AA95" s="3"/>
      <c r="AB95" s="3"/>
      <c r="AC95" s="3"/>
      <c r="AD95" s="3"/>
      <c r="AE95" s="3"/>
      <c r="AF95" s="3"/>
      <c r="AG95" s="3"/>
      <c r="AH95" s="3"/>
      <c r="AI95" s="3"/>
      <c r="AJ95" s="3"/>
      <c r="AK95" s="3"/>
    </row>
    <row r="96" spans="1:37" s="4" customFormat="1" outlineLevel="1" x14ac:dyDescent="0.25">
      <c r="A96" s="325"/>
      <c r="B96" s="273"/>
      <c r="C96" s="255"/>
      <c r="D96" s="258"/>
      <c r="E96" s="261"/>
      <c r="F96" s="258"/>
      <c r="G96" s="5" t="s">
        <v>79</v>
      </c>
      <c r="H96" s="71" t="s">
        <v>40</v>
      </c>
      <c r="I96" s="74">
        <f>D88*16</f>
        <v>16</v>
      </c>
      <c r="J96" s="8">
        <v>0.2</v>
      </c>
      <c r="K96" s="6">
        <f t="shared" si="14"/>
        <v>3.2</v>
      </c>
      <c r="L96" s="270"/>
      <c r="M96" s="206"/>
      <c r="N96" s="3"/>
      <c r="O96" s="3"/>
      <c r="P96" s="3"/>
      <c r="Q96" s="3"/>
      <c r="R96" s="3"/>
      <c r="S96" s="3"/>
      <c r="T96" s="3"/>
      <c r="U96" s="3"/>
      <c r="V96" s="3"/>
      <c r="W96" s="3"/>
      <c r="X96" s="3"/>
      <c r="Y96" s="3"/>
      <c r="Z96" s="3"/>
      <c r="AA96" s="3"/>
      <c r="AB96" s="3"/>
      <c r="AC96" s="3"/>
      <c r="AD96" s="3"/>
      <c r="AE96" s="3"/>
      <c r="AF96" s="3"/>
      <c r="AG96" s="3"/>
      <c r="AH96" s="3"/>
      <c r="AI96" s="3"/>
      <c r="AJ96" s="3"/>
      <c r="AK96" s="3"/>
    </row>
    <row r="97" spans="1:37" s="4" customFormat="1" outlineLevel="1" x14ac:dyDescent="0.25">
      <c r="A97" s="325"/>
      <c r="B97" s="273"/>
      <c r="C97" s="255"/>
      <c r="D97" s="258"/>
      <c r="E97" s="261"/>
      <c r="F97" s="258"/>
      <c r="G97" s="5" t="s">
        <v>49</v>
      </c>
      <c r="H97" s="71" t="s">
        <v>11</v>
      </c>
      <c r="I97" s="74">
        <f>D88*0.75</f>
        <v>0.75</v>
      </c>
      <c r="J97" s="8">
        <v>45</v>
      </c>
      <c r="K97" s="6">
        <f t="shared" si="14"/>
        <v>33.75</v>
      </c>
      <c r="L97" s="270"/>
      <c r="M97" s="206"/>
      <c r="N97" s="3"/>
      <c r="O97" s="3"/>
      <c r="P97" s="3"/>
      <c r="Q97" s="3"/>
      <c r="R97" s="3"/>
      <c r="S97" s="3"/>
      <c r="T97" s="3"/>
      <c r="U97" s="3"/>
      <c r="V97" s="3"/>
      <c r="W97" s="3"/>
      <c r="X97" s="3"/>
      <c r="Y97" s="3"/>
      <c r="Z97" s="3"/>
      <c r="AA97" s="3"/>
      <c r="AB97" s="3"/>
      <c r="AC97" s="3"/>
      <c r="AD97" s="3"/>
      <c r="AE97" s="3"/>
      <c r="AF97" s="3"/>
      <c r="AG97" s="3"/>
      <c r="AH97" s="3"/>
      <c r="AI97" s="3"/>
      <c r="AJ97" s="3"/>
      <c r="AK97" s="3"/>
    </row>
    <row r="98" spans="1:37" s="4" customFormat="1" outlineLevel="1" x14ac:dyDescent="0.25">
      <c r="A98" s="325"/>
      <c r="B98" s="273"/>
      <c r="C98" s="255"/>
      <c r="D98" s="258"/>
      <c r="E98" s="261"/>
      <c r="F98" s="258"/>
      <c r="G98" s="5" t="s">
        <v>50</v>
      </c>
      <c r="H98" s="71" t="s">
        <v>14</v>
      </c>
      <c r="I98" s="74">
        <f>D88*1.2</f>
        <v>1.2</v>
      </c>
      <c r="J98" s="8">
        <v>4</v>
      </c>
      <c r="K98" s="6">
        <f t="shared" si="14"/>
        <v>4.8</v>
      </c>
      <c r="L98" s="270"/>
      <c r="M98" s="206"/>
      <c r="N98" s="3"/>
      <c r="O98" s="3"/>
      <c r="P98" s="3"/>
      <c r="Q98" s="3"/>
      <c r="R98" s="3"/>
      <c r="S98" s="3"/>
      <c r="T98" s="3"/>
      <c r="U98" s="3"/>
      <c r="V98" s="3"/>
      <c r="W98" s="3"/>
      <c r="X98" s="3"/>
      <c r="Y98" s="3"/>
      <c r="Z98" s="3"/>
      <c r="AA98" s="3"/>
      <c r="AB98" s="3"/>
      <c r="AC98" s="3"/>
      <c r="AD98" s="3"/>
      <c r="AE98" s="3"/>
      <c r="AF98" s="3"/>
      <c r="AG98" s="3"/>
      <c r="AH98" s="3"/>
      <c r="AI98" s="3"/>
      <c r="AJ98" s="3"/>
      <c r="AK98" s="3"/>
    </row>
    <row r="99" spans="1:37" s="4" customFormat="1" outlineLevel="1" x14ac:dyDescent="0.25">
      <c r="A99" s="325"/>
      <c r="B99" s="273"/>
      <c r="C99" s="255"/>
      <c r="D99" s="258"/>
      <c r="E99" s="261"/>
      <c r="F99" s="258"/>
      <c r="G99" s="5" t="s">
        <v>53</v>
      </c>
      <c r="H99" s="71" t="s">
        <v>54</v>
      </c>
      <c r="I99" s="74">
        <f>D88*0.11</f>
        <v>0.11</v>
      </c>
      <c r="J99" s="8">
        <v>42</v>
      </c>
      <c r="K99" s="6">
        <f t="shared" si="14"/>
        <v>4.62</v>
      </c>
      <c r="L99" s="270"/>
      <c r="M99" s="206"/>
      <c r="N99" s="3"/>
      <c r="O99" s="3"/>
      <c r="P99" s="3"/>
      <c r="Q99" s="3"/>
      <c r="R99" s="3"/>
      <c r="S99" s="3"/>
      <c r="T99" s="3"/>
      <c r="U99" s="3"/>
      <c r="V99" s="3"/>
      <c r="W99" s="3"/>
      <c r="X99" s="3"/>
      <c r="Y99" s="3"/>
      <c r="Z99" s="3"/>
      <c r="AA99" s="3"/>
      <c r="AB99" s="3"/>
      <c r="AC99" s="3"/>
      <c r="AD99" s="3"/>
      <c r="AE99" s="3"/>
      <c r="AF99" s="3"/>
      <c r="AG99" s="3"/>
      <c r="AH99" s="3"/>
      <c r="AI99" s="3"/>
      <c r="AJ99" s="3"/>
      <c r="AK99" s="3"/>
    </row>
    <row r="100" spans="1:37" s="4" customFormat="1" ht="12.6" outlineLevel="1" thickBot="1" x14ac:dyDescent="0.3">
      <c r="A100" s="290"/>
      <c r="B100" s="274"/>
      <c r="C100" s="256"/>
      <c r="D100" s="259"/>
      <c r="E100" s="262"/>
      <c r="F100" s="259"/>
      <c r="G100" s="58" t="s">
        <v>55</v>
      </c>
      <c r="H100" s="72" t="s">
        <v>12</v>
      </c>
      <c r="I100" s="75">
        <f>D88</f>
        <v>1</v>
      </c>
      <c r="J100" s="59">
        <v>78</v>
      </c>
      <c r="K100" s="60">
        <f t="shared" si="14"/>
        <v>78</v>
      </c>
      <c r="L100" s="271"/>
      <c r="M100" s="206"/>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s="4" customFormat="1" outlineLevel="1" x14ac:dyDescent="0.25">
      <c r="A101" s="281">
        <v>5</v>
      </c>
      <c r="B101" s="272" t="s">
        <v>185</v>
      </c>
      <c r="C101" s="284" t="s">
        <v>14</v>
      </c>
      <c r="D101" s="257">
        <v>1</v>
      </c>
      <c r="E101" s="291">
        <v>10</v>
      </c>
      <c r="F101" s="257">
        <f>E101*D101</f>
        <v>10</v>
      </c>
      <c r="G101" s="56" t="s">
        <v>56</v>
      </c>
      <c r="H101" s="70" t="s">
        <v>12</v>
      </c>
      <c r="I101" s="73">
        <f>D101*2.2*1.2</f>
        <v>2.64</v>
      </c>
      <c r="J101" s="57">
        <v>105</v>
      </c>
      <c r="K101" s="68">
        <f t="shared" ref="K101" si="15">J101*I101</f>
        <v>277.2</v>
      </c>
      <c r="L101" s="269">
        <f>SUM(K101:K102,F101)</f>
        <v>375.2</v>
      </c>
      <c r="M101" s="206"/>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s="4" customFormat="1" ht="12.6" outlineLevel="1" thickBot="1" x14ac:dyDescent="0.3">
      <c r="A102" s="282"/>
      <c r="B102" s="274"/>
      <c r="C102" s="286"/>
      <c r="D102" s="259"/>
      <c r="E102" s="292"/>
      <c r="F102" s="259"/>
      <c r="G102" s="52" t="s">
        <v>186</v>
      </c>
      <c r="H102" s="53" t="s">
        <v>11</v>
      </c>
      <c r="I102" s="87">
        <f>D101*8</f>
        <v>8</v>
      </c>
      <c r="J102" s="84">
        <v>11</v>
      </c>
      <c r="K102" s="54">
        <f>J102*I102</f>
        <v>88</v>
      </c>
      <c r="L102" s="271"/>
      <c r="M102" s="206"/>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s="14" customFormat="1" outlineLevel="1" x14ac:dyDescent="0.3">
      <c r="A103" s="281">
        <v>6</v>
      </c>
      <c r="B103" s="314" t="s">
        <v>58</v>
      </c>
      <c r="C103" s="327" t="s">
        <v>12</v>
      </c>
      <c r="D103" s="382">
        <v>1</v>
      </c>
      <c r="E103" s="385">
        <v>320</v>
      </c>
      <c r="F103" s="327">
        <f>E103*D103</f>
        <v>320</v>
      </c>
      <c r="G103" s="56" t="s">
        <v>59</v>
      </c>
      <c r="H103" s="70" t="s">
        <v>13</v>
      </c>
      <c r="I103" s="73">
        <f>D103/10</f>
        <v>0.1</v>
      </c>
      <c r="J103" s="57">
        <v>2500</v>
      </c>
      <c r="K103" s="68">
        <f t="shared" si="12"/>
        <v>250</v>
      </c>
      <c r="L103" s="269">
        <f>SUM(K103:K105,F103)</f>
        <v>581.9</v>
      </c>
      <c r="M103" s="206"/>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row>
    <row r="104" spans="1:37" s="14" customFormat="1" outlineLevel="1" x14ac:dyDescent="0.3">
      <c r="A104" s="283"/>
      <c r="B104" s="326"/>
      <c r="C104" s="328"/>
      <c r="D104" s="383"/>
      <c r="E104" s="386"/>
      <c r="F104" s="328"/>
      <c r="G104" s="5" t="s">
        <v>60</v>
      </c>
      <c r="H104" s="71" t="s">
        <v>11</v>
      </c>
      <c r="I104" s="74">
        <f>I103*25</f>
        <v>2.5</v>
      </c>
      <c r="J104" s="8">
        <v>3</v>
      </c>
      <c r="K104" s="6">
        <f t="shared" si="12"/>
        <v>7.5</v>
      </c>
      <c r="L104" s="270"/>
      <c r="M104" s="206"/>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row>
    <row r="105" spans="1:37" s="14" customFormat="1" ht="12.6" outlineLevel="1" thickBot="1" x14ac:dyDescent="0.35">
      <c r="A105" s="282"/>
      <c r="B105" s="315"/>
      <c r="C105" s="329"/>
      <c r="D105" s="384"/>
      <c r="E105" s="387"/>
      <c r="F105" s="329"/>
      <c r="G105" s="58" t="s">
        <v>53</v>
      </c>
      <c r="H105" s="72" t="s">
        <v>11</v>
      </c>
      <c r="I105" s="75">
        <f>D103*0.11</f>
        <v>0.11</v>
      </c>
      <c r="J105" s="59">
        <v>40</v>
      </c>
      <c r="K105" s="60">
        <f t="shared" si="12"/>
        <v>4.4000000000000004</v>
      </c>
      <c r="L105" s="271"/>
      <c r="M105" s="206"/>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row>
    <row r="106" spans="1:37" s="14" customFormat="1" outlineLevel="1" x14ac:dyDescent="0.3">
      <c r="A106" s="281">
        <v>7</v>
      </c>
      <c r="B106" s="314" t="s">
        <v>184</v>
      </c>
      <c r="C106" s="316" t="s">
        <v>12</v>
      </c>
      <c r="D106" s="318">
        <v>1</v>
      </c>
      <c r="E106" s="320">
        <v>450</v>
      </c>
      <c r="F106" s="316">
        <f>E106*D106</f>
        <v>450</v>
      </c>
      <c r="G106" s="102" t="s">
        <v>61</v>
      </c>
      <c r="H106" s="103" t="s">
        <v>40</v>
      </c>
      <c r="I106" s="103">
        <f>D106*54</f>
        <v>54</v>
      </c>
      <c r="J106" s="57">
        <v>13</v>
      </c>
      <c r="K106" s="103">
        <f t="shared" si="12"/>
        <v>702</v>
      </c>
      <c r="L106" s="269">
        <f>SUM(K106:K107,F106)</f>
        <v>1242</v>
      </c>
      <c r="M106" s="206"/>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row>
    <row r="107" spans="1:37" s="14" customFormat="1" ht="12.6" outlineLevel="1" thickBot="1" x14ac:dyDescent="0.35">
      <c r="A107" s="282"/>
      <c r="B107" s="315"/>
      <c r="C107" s="317"/>
      <c r="D107" s="319"/>
      <c r="E107" s="321"/>
      <c r="F107" s="317"/>
      <c r="G107" s="104" t="s">
        <v>62</v>
      </c>
      <c r="H107" s="105" t="s">
        <v>11</v>
      </c>
      <c r="I107" s="75">
        <f>D106*30</f>
        <v>30</v>
      </c>
      <c r="J107" s="59">
        <v>3</v>
      </c>
      <c r="K107" s="105">
        <f t="shared" si="12"/>
        <v>90</v>
      </c>
      <c r="L107" s="271"/>
      <c r="M107" s="206"/>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row>
    <row r="108" spans="1:37" ht="14.25" customHeight="1" outlineLevel="1" thickBot="1" x14ac:dyDescent="0.35">
      <c r="A108" s="41">
        <v>8</v>
      </c>
      <c r="B108" s="106" t="s">
        <v>189</v>
      </c>
      <c r="C108" s="43" t="s">
        <v>14</v>
      </c>
      <c r="D108" s="44">
        <v>1</v>
      </c>
      <c r="E108" s="45">
        <v>2500</v>
      </c>
      <c r="F108" s="46">
        <f>E108*D108</f>
        <v>2500</v>
      </c>
      <c r="G108" s="42" t="s">
        <v>190</v>
      </c>
      <c r="H108" s="43" t="s">
        <v>40</v>
      </c>
      <c r="I108" s="45">
        <f>D108</f>
        <v>1</v>
      </c>
      <c r="J108" s="44">
        <v>900</v>
      </c>
      <c r="K108" s="46">
        <f t="shared" ref="K108:K113" si="16">J108*I108</f>
        <v>900</v>
      </c>
      <c r="L108" s="48">
        <f>K108+F108</f>
        <v>3400</v>
      </c>
      <c r="M108" s="212"/>
    </row>
    <row r="109" spans="1:37" ht="14.25" customHeight="1" outlineLevel="1" thickBot="1" x14ac:dyDescent="0.35">
      <c r="A109" s="41">
        <v>9</v>
      </c>
      <c r="B109" s="106" t="s">
        <v>191</v>
      </c>
      <c r="C109" s="43" t="s">
        <v>14</v>
      </c>
      <c r="D109" s="44">
        <v>1</v>
      </c>
      <c r="E109" s="45">
        <v>800</v>
      </c>
      <c r="F109" s="46">
        <f>E109*D109</f>
        <v>800</v>
      </c>
      <c r="G109" s="42" t="s">
        <v>190</v>
      </c>
      <c r="H109" s="43" t="s">
        <v>40</v>
      </c>
      <c r="I109" s="45">
        <f>D109*0.5</f>
        <v>0.5</v>
      </c>
      <c r="J109" s="44">
        <v>900</v>
      </c>
      <c r="K109" s="46">
        <f t="shared" si="16"/>
        <v>450</v>
      </c>
      <c r="L109" s="48">
        <f>K109+F109</f>
        <v>1250</v>
      </c>
      <c r="M109" s="212"/>
    </row>
    <row r="110" spans="1:37" ht="14.25" customHeight="1" outlineLevel="1" thickBot="1" x14ac:dyDescent="0.35">
      <c r="A110" s="41">
        <v>10</v>
      </c>
      <c r="B110" s="106" t="s">
        <v>192</v>
      </c>
      <c r="C110" s="43" t="s">
        <v>14</v>
      </c>
      <c r="D110" s="44">
        <v>1</v>
      </c>
      <c r="E110" s="45">
        <v>300</v>
      </c>
      <c r="F110" s="46">
        <f>E110*D110</f>
        <v>300</v>
      </c>
      <c r="G110" s="42" t="s">
        <v>190</v>
      </c>
      <c r="H110" s="43" t="s">
        <v>40</v>
      </c>
      <c r="I110" s="45">
        <f>D110*0.2</f>
        <v>0.2</v>
      </c>
      <c r="J110" s="44">
        <v>900</v>
      </c>
      <c r="K110" s="46">
        <f t="shared" si="16"/>
        <v>180</v>
      </c>
      <c r="L110" s="48">
        <f>K110+F110</f>
        <v>480</v>
      </c>
      <c r="M110" s="212"/>
    </row>
    <row r="111" spans="1:37" ht="15" customHeight="1" outlineLevel="1" x14ac:dyDescent="0.3">
      <c r="A111" s="371">
        <v>11</v>
      </c>
      <c r="B111" s="374" t="s">
        <v>193</v>
      </c>
      <c r="C111" s="377" t="s">
        <v>14</v>
      </c>
      <c r="D111" s="380">
        <v>1</v>
      </c>
      <c r="E111" s="381">
        <v>1500</v>
      </c>
      <c r="F111" s="311">
        <f>E111*D111</f>
        <v>1500</v>
      </c>
      <c r="G111" s="49" t="s">
        <v>195</v>
      </c>
      <c r="H111" s="50" t="s">
        <v>14</v>
      </c>
      <c r="I111" s="85">
        <f>D111*1.2</f>
        <v>1.2</v>
      </c>
      <c r="J111" s="82">
        <v>300</v>
      </c>
      <c r="K111" s="51">
        <f t="shared" si="16"/>
        <v>360</v>
      </c>
      <c r="L111" s="299">
        <f>SUM(K111:K115)+F111</f>
        <v>2777.6</v>
      </c>
      <c r="M111" s="212"/>
    </row>
    <row r="112" spans="1:37" outlineLevel="1" x14ac:dyDescent="0.3">
      <c r="A112" s="372"/>
      <c r="B112" s="375"/>
      <c r="C112" s="378"/>
      <c r="D112" s="352"/>
      <c r="E112" s="355"/>
      <c r="F112" s="312"/>
      <c r="G112" s="99" t="s">
        <v>197</v>
      </c>
      <c r="H112" s="90" t="s">
        <v>14</v>
      </c>
      <c r="I112" s="86">
        <f>D111*1.2</f>
        <v>1.2</v>
      </c>
      <c r="J112" s="83">
        <v>300</v>
      </c>
      <c r="K112" s="101">
        <f t="shared" si="16"/>
        <v>360</v>
      </c>
      <c r="L112" s="300"/>
      <c r="M112" s="212"/>
    </row>
    <row r="113" spans="1:13" outlineLevel="1" x14ac:dyDescent="0.3">
      <c r="A113" s="372"/>
      <c r="B113" s="375"/>
      <c r="C113" s="378"/>
      <c r="D113" s="352"/>
      <c r="E113" s="355"/>
      <c r="F113" s="312"/>
      <c r="G113" s="99" t="s">
        <v>196</v>
      </c>
      <c r="H113" s="90" t="s">
        <v>14</v>
      </c>
      <c r="I113" s="86">
        <f>D111</f>
        <v>1</v>
      </c>
      <c r="J113" s="83">
        <v>50</v>
      </c>
      <c r="K113" s="101">
        <f t="shared" si="16"/>
        <v>50</v>
      </c>
      <c r="L113" s="300"/>
      <c r="M113" s="212"/>
    </row>
    <row r="114" spans="1:13" outlineLevel="1" x14ac:dyDescent="0.3">
      <c r="A114" s="372"/>
      <c r="B114" s="375"/>
      <c r="C114" s="378"/>
      <c r="D114" s="352"/>
      <c r="E114" s="355"/>
      <c r="F114" s="312"/>
      <c r="G114" s="5" t="s">
        <v>84</v>
      </c>
      <c r="H114" s="71" t="s">
        <v>11</v>
      </c>
      <c r="I114" s="74">
        <f>D111/50</f>
        <v>0.02</v>
      </c>
      <c r="J114" s="8">
        <v>380</v>
      </c>
      <c r="K114" s="6">
        <f t="shared" ref="K114:K115" si="17">J114*I114</f>
        <v>7.6000000000000005</v>
      </c>
      <c r="L114" s="300"/>
      <c r="M114" s="212"/>
    </row>
    <row r="115" spans="1:13" ht="14.25" customHeight="1" outlineLevel="1" thickBot="1" x14ac:dyDescent="0.35">
      <c r="A115" s="373"/>
      <c r="B115" s="376"/>
      <c r="C115" s="379"/>
      <c r="D115" s="353"/>
      <c r="E115" s="356"/>
      <c r="F115" s="313"/>
      <c r="G115" s="58" t="s">
        <v>194</v>
      </c>
      <c r="H115" s="72" t="s">
        <v>14</v>
      </c>
      <c r="I115" s="75">
        <f>D111*5</f>
        <v>5</v>
      </c>
      <c r="J115" s="59">
        <v>100</v>
      </c>
      <c r="K115" s="60">
        <f t="shared" si="17"/>
        <v>500</v>
      </c>
      <c r="L115" s="301"/>
      <c r="M115" s="212"/>
    </row>
    <row r="116" spans="1:13" ht="24.6" outlineLevel="1" thickBot="1" x14ac:dyDescent="0.35">
      <c r="A116" s="41">
        <v>12</v>
      </c>
      <c r="B116" s="106" t="s">
        <v>198</v>
      </c>
      <c r="C116" s="43" t="s">
        <v>12</v>
      </c>
      <c r="D116" s="44">
        <v>1</v>
      </c>
      <c r="E116" s="45">
        <v>1200</v>
      </c>
      <c r="F116" s="46">
        <f t="shared" ref="F116:F128" si="18">E116*D116</f>
        <v>1200</v>
      </c>
      <c r="G116" s="42" t="s">
        <v>190</v>
      </c>
      <c r="H116" s="43" t="s">
        <v>40</v>
      </c>
      <c r="I116" s="45">
        <f>D116*0.5</f>
        <v>0.5</v>
      </c>
      <c r="J116" s="44">
        <v>900</v>
      </c>
      <c r="K116" s="46">
        <f t="shared" ref="K116:K128" si="19">J116*I116</f>
        <v>450</v>
      </c>
      <c r="L116" s="48">
        <f t="shared" ref="L116:L128" si="20">K116+F116</f>
        <v>1650</v>
      </c>
      <c r="M116" s="212"/>
    </row>
    <row r="117" spans="1:13" ht="24.6" outlineLevel="1" thickBot="1" x14ac:dyDescent="0.35">
      <c r="A117" s="41">
        <v>13</v>
      </c>
      <c r="B117" s="106" t="s">
        <v>199</v>
      </c>
      <c r="C117" s="43" t="s">
        <v>12</v>
      </c>
      <c r="D117" s="44">
        <v>1</v>
      </c>
      <c r="E117" s="45">
        <v>2200</v>
      </c>
      <c r="F117" s="46">
        <f t="shared" si="18"/>
        <v>2200</v>
      </c>
      <c r="G117" s="42" t="s">
        <v>190</v>
      </c>
      <c r="H117" s="43" t="s">
        <v>40</v>
      </c>
      <c r="I117" s="45">
        <f>D117</f>
        <v>1</v>
      </c>
      <c r="J117" s="44">
        <v>900</v>
      </c>
      <c r="K117" s="46">
        <f t="shared" si="19"/>
        <v>900</v>
      </c>
      <c r="L117" s="48">
        <f t="shared" si="20"/>
        <v>3100</v>
      </c>
      <c r="M117" s="212"/>
    </row>
    <row r="118" spans="1:13" ht="24.6" outlineLevel="1" thickBot="1" x14ac:dyDescent="0.35">
      <c r="A118" s="41">
        <v>14</v>
      </c>
      <c r="B118" s="42" t="s">
        <v>200</v>
      </c>
      <c r="C118" s="43" t="s">
        <v>12</v>
      </c>
      <c r="D118" s="44">
        <v>1</v>
      </c>
      <c r="E118" s="45">
        <v>35</v>
      </c>
      <c r="F118" s="46">
        <f t="shared" si="18"/>
        <v>35</v>
      </c>
      <c r="G118" s="42" t="s">
        <v>171</v>
      </c>
      <c r="H118" s="43" t="s">
        <v>11</v>
      </c>
      <c r="I118" s="45">
        <f>D118*0.3</f>
        <v>0.3</v>
      </c>
      <c r="J118" s="44">
        <v>52.5</v>
      </c>
      <c r="K118" s="46">
        <f t="shared" si="19"/>
        <v>15.75</v>
      </c>
      <c r="L118" s="48">
        <f t="shared" si="20"/>
        <v>50.75</v>
      </c>
      <c r="M118" s="212"/>
    </row>
    <row r="119" spans="1:13" ht="14.25" customHeight="1" outlineLevel="1" thickBot="1" x14ac:dyDescent="0.35">
      <c r="A119" s="41">
        <v>15</v>
      </c>
      <c r="B119" s="42" t="s">
        <v>204</v>
      </c>
      <c r="C119" s="43" t="s">
        <v>12</v>
      </c>
      <c r="D119" s="44">
        <v>1</v>
      </c>
      <c r="E119" s="45">
        <v>25</v>
      </c>
      <c r="F119" s="46">
        <f t="shared" si="18"/>
        <v>25</v>
      </c>
      <c r="G119" s="42" t="s">
        <v>203</v>
      </c>
      <c r="H119" s="47" t="s">
        <v>12</v>
      </c>
      <c r="I119" s="45">
        <f>D119*1.1</f>
        <v>1.1000000000000001</v>
      </c>
      <c r="J119" s="44">
        <v>8</v>
      </c>
      <c r="K119" s="46">
        <f t="shared" si="19"/>
        <v>8.8000000000000007</v>
      </c>
      <c r="L119" s="48">
        <f t="shared" si="20"/>
        <v>33.799999999999997</v>
      </c>
      <c r="M119" s="212"/>
    </row>
    <row r="120" spans="1:13" ht="14.25" customHeight="1" outlineLevel="1" thickBot="1" x14ac:dyDescent="0.35">
      <c r="A120" s="41">
        <v>16</v>
      </c>
      <c r="B120" s="42" t="s">
        <v>205</v>
      </c>
      <c r="C120" s="43" t="s">
        <v>12</v>
      </c>
      <c r="D120" s="44">
        <v>1</v>
      </c>
      <c r="E120" s="45">
        <v>35</v>
      </c>
      <c r="F120" s="46">
        <f t="shared" si="18"/>
        <v>35</v>
      </c>
      <c r="G120" s="42" t="s">
        <v>206</v>
      </c>
      <c r="H120" s="47" t="s">
        <v>12</v>
      </c>
      <c r="I120" s="45">
        <f>D120*1.1</f>
        <v>1.1000000000000001</v>
      </c>
      <c r="J120" s="44">
        <v>10</v>
      </c>
      <c r="K120" s="46">
        <f t="shared" si="19"/>
        <v>11</v>
      </c>
      <c r="L120" s="48">
        <f t="shared" si="20"/>
        <v>46</v>
      </c>
      <c r="M120" s="212"/>
    </row>
    <row r="121" spans="1:13" ht="14.25" customHeight="1" outlineLevel="1" thickBot="1" x14ac:dyDescent="0.35">
      <c r="A121" s="41">
        <v>17</v>
      </c>
      <c r="B121" s="42" t="s">
        <v>211</v>
      </c>
      <c r="C121" s="43" t="s">
        <v>12</v>
      </c>
      <c r="D121" s="44">
        <v>1</v>
      </c>
      <c r="E121" s="45">
        <v>350</v>
      </c>
      <c r="F121" s="46">
        <f t="shared" si="18"/>
        <v>350</v>
      </c>
      <c r="G121" s="42" t="s">
        <v>176</v>
      </c>
      <c r="H121" s="47" t="s">
        <v>11</v>
      </c>
      <c r="I121" s="45">
        <f>D121*8</f>
        <v>8</v>
      </c>
      <c r="J121" s="44">
        <v>11.5</v>
      </c>
      <c r="K121" s="46">
        <f t="shared" si="19"/>
        <v>92</v>
      </c>
      <c r="L121" s="48">
        <f t="shared" si="20"/>
        <v>442</v>
      </c>
      <c r="M121" s="212"/>
    </row>
    <row r="122" spans="1:13" ht="14.25" customHeight="1" outlineLevel="1" thickBot="1" x14ac:dyDescent="0.35">
      <c r="A122" s="41">
        <v>18</v>
      </c>
      <c r="B122" s="42" t="s">
        <v>202</v>
      </c>
      <c r="C122" s="43" t="s">
        <v>12</v>
      </c>
      <c r="D122" s="44">
        <v>1</v>
      </c>
      <c r="E122" s="45">
        <v>560</v>
      </c>
      <c r="F122" s="46">
        <f t="shared" si="18"/>
        <v>560</v>
      </c>
      <c r="G122" s="42" t="s">
        <v>176</v>
      </c>
      <c r="H122" s="47" t="s">
        <v>11</v>
      </c>
      <c r="I122" s="45">
        <f>D122*8</f>
        <v>8</v>
      </c>
      <c r="J122" s="44">
        <v>11.5</v>
      </c>
      <c r="K122" s="46">
        <f t="shared" si="19"/>
        <v>92</v>
      </c>
      <c r="L122" s="48">
        <f t="shared" si="20"/>
        <v>652</v>
      </c>
      <c r="M122" s="212"/>
    </row>
    <row r="123" spans="1:13" ht="24.6" outlineLevel="1" thickBot="1" x14ac:dyDescent="0.35">
      <c r="A123" s="41">
        <v>19</v>
      </c>
      <c r="B123" s="42" t="s">
        <v>210</v>
      </c>
      <c r="C123" s="43" t="s">
        <v>12</v>
      </c>
      <c r="D123" s="44">
        <v>1</v>
      </c>
      <c r="E123" s="45">
        <v>760</v>
      </c>
      <c r="F123" s="46">
        <f t="shared" si="18"/>
        <v>760</v>
      </c>
      <c r="G123" s="42" t="s">
        <v>176</v>
      </c>
      <c r="H123" s="47" t="s">
        <v>11</v>
      </c>
      <c r="I123" s="45">
        <f>D123*8</f>
        <v>8</v>
      </c>
      <c r="J123" s="44">
        <v>11.5</v>
      </c>
      <c r="K123" s="46">
        <f t="shared" si="19"/>
        <v>92</v>
      </c>
      <c r="L123" s="48">
        <f t="shared" si="20"/>
        <v>852</v>
      </c>
      <c r="M123" s="212"/>
    </row>
    <row r="124" spans="1:13" ht="14.25" customHeight="1" outlineLevel="1" thickBot="1" x14ac:dyDescent="0.35">
      <c r="A124" s="41">
        <v>20</v>
      </c>
      <c r="B124" s="42" t="s">
        <v>207</v>
      </c>
      <c r="C124" s="43" t="s">
        <v>12</v>
      </c>
      <c r="D124" s="44">
        <v>1</v>
      </c>
      <c r="E124" s="45">
        <v>580</v>
      </c>
      <c r="F124" s="46">
        <f t="shared" si="18"/>
        <v>580</v>
      </c>
      <c r="G124" s="42" t="s">
        <v>208</v>
      </c>
      <c r="H124" s="47" t="s">
        <v>11</v>
      </c>
      <c r="I124" s="45">
        <f>D124*8</f>
        <v>8</v>
      </c>
      <c r="J124" s="44">
        <v>2.5</v>
      </c>
      <c r="K124" s="46">
        <f t="shared" si="19"/>
        <v>20</v>
      </c>
      <c r="L124" s="48">
        <f t="shared" si="20"/>
        <v>600</v>
      </c>
      <c r="M124" s="212"/>
    </row>
    <row r="125" spans="1:13" ht="24.6" outlineLevel="1" thickBot="1" x14ac:dyDescent="0.35">
      <c r="A125" s="41">
        <v>21</v>
      </c>
      <c r="B125" s="42" t="s">
        <v>201</v>
      </c>
      <c r="C125" s="43" t="s">
        <v>14</v>
      </c>
      <c r="D125" s="44">
        <v>1</v>
      </c>
      <c r="E125" s="45">
        <v>20</v>
      </c>
      <c r="F125" s="46">
        <f t="shared" si="18"/>
        <v>20</v>
      </c>
      <c r="G125" s="42" t="s">
        <v>171</v>
      </c>
      <c r="H125" s="43" t="s">
        <v>11</v>
      </c>
      <c r="I125" s="45">
        <v>0.1</v>
      </c>
      <c r="J125" s="44">
        <v>52.5</v>
      </c>
      <c r="K125" s="46">
        <f t="shared" si="19"/>
        <v>5.25</v>
      </c>
      <c r="L125" s="48">
        <f t="shared" si="20"/>
        <v>25.25</v>
      </c>
      <c r="M125" s="212"/>
    </row>
    <row r="126" spans="1:13" ht="14.25" customHeight="1" outlineLevel="1" thickBot="1" x14ac:dyDescent="0.35">
      <c r="A126" s="41">
        <v>22</v>
      </c>
      <c r="B126" s="42" t="s">
        <v>187</v>
      </c>
      <c r="C126" s="43" t="s">
        <v>14</v>
      </c>
      <c r="D126" s="44">
        <v>1</v>
      </c>
      <c r="E126" s="45">
        <v>420</v>
      </c>
      <c r="F126" s="46">
        <f t="shared" si="18"/>
        <v>420</v>
      </c>
      <c r="G126" s="42" t="s">
        <v>176</v>
      </c>
      <c r="H126" s="47" t="s">
        <v>11</v>
      </c>
      <c r="I126" s="45">
        <f>D126*4</f>
        <v>4</v>
      </c>
      <c r="J126" s="44">
        <v>11.5</v>
      </c>
      <c r="K126" s="46">
        <f t="shared" si="19"/>
        <v>46</v>
      </c>
      <c r="L126" s="48">
        <f t="shared" si="20"/>
        <v>466</v>
      </c>
      <c r="M126" s="212"/>
    </row>
    <row r="127" spans="1:13" ht="24.6" outlineLevel="1" thickBot="1" x14ac:dyDescent="0.35">
      <c r="A127" s="41">
        <v>23</v>
      </c>
      <c r="B127" s="42" t="s">
        <v>212</v>
      </c>
      <c r="C127" s="43" t="s">
        <v>14</v>
      </c>
      <c r="D127" s="44">
        <v>1</v>
      </c>
      <c r="E127" s="45">
        <v>650</v>
      </c>
      <c r="F127" s="46">
        <f t="shared" si="18"/>
        <v>650</v>
      </c>
      <c r="G127" s="42" t="s">
        <v>176</v>
      </c>
      <c r="H127" s="47" t="s">
        <v>11</v>
      </c>
      <c r="I127" s="45">
        <f>D127*4</f>
        <v>4</v>
      </c>
      <c r="J127" s="44">
        <v>11.5</v>
      </c>
      <c r="K127" s="46">
        <f t="shared" si="19"/>
        <v>46</v>
      </c>
      <c r="L127" s="48">
        <f t="shared" si="20"/>
        <v>696</v>
      </c>
      <c r="M127" s="212"/>
    </row>
    <row r="128" spans="1:13" ht="12.6" outlineLevel="1" thickBot="1" x14ac:dyDescent="0.35">
      <c r="A128" s="41">
        <v>24</v>
      </c>
      <c r="B128" s="42" t="s">
        <v>209</v>
      </c>
      <c r="C128" s="43" t="s">
        <v>14</v>
      </c>
      <c r="D128" s="44">
        <v>1</v>
      </c>
      <c r="E128" s="45">
        <v>450</v>
      </c>
      <c r="F128" s="46">
        <f t="shared" si="18"/>
        <v>450</v>
      </c>
      <c r="G128" s="42" t="s">
        <v>208</v>
      </c>
      <c r="H128" s="47" t="s">
        <v>11</v>
      </c>
      <c r="I128" s="45">
        <f>D128*4</f>
        <v>4</v>
      </c>
      <c r="J128" s="44">
        <v>2.5</v>
      </c>
      <c r="K128" s="46">
        <f t="shared" si="19"/>
        <v>10</v>
      </c>
      <c r="L128" s="48">
        <f t="shared" si="20"/>
        <v>460</v>
      </c>
      <c r="M128" s="212"/>
    </row>
    <row r="129" spans="1:37" s="4" customFormat="1" ht="14.25" customHeight="1" outlineLevel="1" thickBot="1" x14ac:dyDescent="0.3">
      <c r="A129" s="32">
        <v>25</v>
      </c>
      <c r="B129" s="33" t="s">
        <v>220</v>
      </c>
      <c r="C129" s="63" t="s">
        <v>12</v>
      </c>
      <c r="D129" s="35">
        <v>1</v>
      </c>
      <c r="E129" s="36">
        <v>25</v>
      </c>
      <c r="F129" s="35">
        <f>D129*E129</f>
        <v>25</v>
      </c>
      <c r="G129" s="37" t="s">
        <v>53</v>
      </c>
      <c r="H129" s="63" t="s">
        <v>11</v>
      </c>
      <c r="I129" s="35">
        <f>D129*0.11</f>
        <v>0.11</v>
      </c>
      <c r="J129" s="38">
        <v>40</v>
      </c>
      <c r="K129" s="66">
        <f t="shared" ref="K129" si="21">J129*I129</f>
        <v>4.4000000000000004</v>
      </c>
      <c r="L129" s="39">
        <f>SUM(K129,F129)</f>
        <v>29.4</v>
      </c>
      <c r="M129" s="206"/>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s="4" customFormat="1" outlineLevel="1" x14ac:dyDescent="0.25">
      <c r="A130" s="281">
        <v>26</v>
      </c>
      <c r="B130" s="272" t="s">
        <v>67</v>
      </c>
      <c r="C130" s="284" t="s">
        <v>14</v>
      </c>
      <c r="D130" s="257">
        <v>1</v>
      </c>
      <c r="E130" s="291">
        <v>10</v>
      </c>
      <c r="F130" s="257">
        <f>E130*D130</f>
        <v>10</v>
      </c>
      <c r="G130" s="56" t="s">
        <v>68</v>
      </c>
      <c r="H130" s="70" t="s">
        <v>14</v>
      </c>
      <c r="I130" s="73">
        <f>D130*1.2</f>
        <v>1.2</v>
      </c>
      <c r="J130" s="57">
        <v>16</v>
      </c>
      <c r="K130" s="68">
        <f t="shared" ref="K130:K131" si="22">J130*I130</f>
        <v>19.2</v>
      </c>
      <c r="L130" s="269">
        <f>SUM(K130:K131,F130)</f>
        <v>30.866666666666667</v>
      </c>
      <c r="M130" s="206"/>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s="4" customFormat="1" ht="12.6" outlineLevel="1" thickBot="1" x14ac:dyDescent="0.3">
      <c r="A131" s="282"/>
      <c r="B131" s="274"/>
      <c r="C131" s="286"/>
      <c r="D131" s="259"/>
      <c r="E131" s="292"/>
      <c r="F131" s="259"/>
      <c r="G131" s="58" t="s">
        <v>69</v>
      </c>
      <c r="H131" s="72" t="s">
        <v>70</v>
      </c>
      <c r="I131" s="75">
        <f>D130/30</f>
        <v>3.3333333333333333E-2</v>
      </c>
      <c r="J131" s="59">
        <v>50</v>
      </c>
      <c r="K131" s="60">
        <f t="shared" si="22"/>
        <v>1.6666666666666667</v>
      </c>
      <c r="L131" s="271"/>
      <c r="M131" s="206"/>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outlineLevel="1" x14ac:dyDescent="0.3">
      <c r="A132" s="275">
        <v>27</v>
      </c>
      <c r="B132" s="322" t="s">
        <v>215</v>
      </c>
      <c r="C132" s="302" t="s">
        <v>12</v>
      </c>
      <c r="D132" s="305">
        <v>1</v>
      </c>
      <c r="E132" s="308">
        <v>240</v>
      </c>
      <c r="F132" s="311">
        <f t="shared" ref="F132" si="23">E132*D132</f>
        <v>240</v>
      </c>
      <c r="G132" s="49" t="s">
        <v>42</v>
      </c>
      <c r="H132" s="50" t="s">
        <v>11</v>
      </c>
      <c r="I132" s="85">
        <f>D132*2</f>
        <v>2</v>
      </c>
      <c r="J132" s="82">
        <v>32</v>
      </c>
      <c r="K132" s="51">
        <f t="shared" ref="K132:K153" si="24">J132*I132</f>
        <v>64</v>
      </c>
      <c r="L132" s="299">
        <f>SUM(K132:K134,F132)</f>
        <v>310.3</v>
      </c>
      <c r="M132" s="212"/>
    </row>
    <row r="133" spans="1:37" outlineLevel="1" x14ac:dyDescent="0.3">
      <c r="A133" s="276"/>
      <c r="B133" s="323"/>
      <c r="C133" s="303"/>
      <c r="D133" s="306"/>
      <c r="E133" s="309"/>
      <c r="F133" s="312"/>
      <c r="G133" s="5" t="s">
        <v>72</v>
      </c>
      <c r="H133" s="71" t="s">
        <v>12</v>
      </c>
      <c r="I133" s="74">
        <f>D131/50</f>
        <v>0</v>
      </c>
      <c r="J133" s="8">
        <v>300</v>
      </c>
      <c r="K133" s="6">
        <f t="shared" si="24"/>
        <v>0</v>
      </c>
      <c r="L133" s="300"/>
      <c r="M133" s="212"/>
    </row>
    <row r="134" spans="1:37" ht="12.6" outlineLevel="1" thickBot="1" x14ac:dyDescent="0.35">
      <c r="A134" s="277"/>
      <c r="B134" s="324"/>
      <c r="C134" s="304"/>
      <c r="D134" s="307"/>
      <c r="E134" s="310"/>
      <c r="F134" s="313"/>
      <c r="G134" s="52" t="s">
        <v>43</v>
      </c>
      <c r="H134" s="53" t="s">
        <v>12</v>
      </c>
      <c r="I134" s="87">
        <f>D132*1.05</f>
        <v>1.05</v>
      </c>
      <c r="J134" s="84">
        <v>6</v>
      </c>
      <c r="K134" s="54">
        <f t="shared" si="24"/>
        <v>6.3000000000000007</v>
      </c>
      <c r="L134" s="301"/>
      <c r="M134" s="212"/>
    </row>
    <row r="135" spans="1:37" s="4" customFormat="1" outlineLevel="1" x14ac:dyDescent="0.25">
      <c r="A135" s="289">
        <v>28</v>
      </c>
      <c r="B135" s="251" t="s">
        <v>71</v>
      </c>
      <c r="C135" s="297" t="s">
        <v>12</v>
      </c>
      <c r="D135" s="293">
        <v>1</v>
      </c>
      <c r="E135" s="295">
        <v>220</v>
      </c>
      <c r="F135" s="293">
        <f>E135*D135</f>
        <v>220</v>
      </c>
      <c r="G135" s="49" t="s">
        <v>42</v>
      </c>
      <c r="H135" s="70" t="s">
        <v>11</v>
      </c>
      <c r="I135" s="73">
        <f>D135*1.4</f>
        <v>1.4</v>
      </c>
      <c r="J135" s="57">
        <v>32</v>
      </c>
      <c r="K135" s="68">
        <f t="shared" si="24"/>
        <v>44.8</v>
      </c>
      <c r="L135" s="269">
        <f>SUM(K135:K136,F135)</f>
        <v>264.8</v>
      </c>
      <c r="M135" s="206"/>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s="4" customFormat="1" ht="12.6" outlineLevel="1" thickBot="1" x14ac:dyDescent="0.3">
      <c r="A136" s="290"/>
      <c r="B136" s="253"/>
      <c r="C136" s="298"/>
      <c r="D136" s="294"/>
      <c r="E136" s="296"/>
      <c r="F136" s="294"/>
      <c r="G136" s="58" t="s">
        <v>72</v>
      </c>
      <c r="H136" s="72" t="s">
        <v>12</v>
      </c>
      <c r="I136" s="75">
        <f>D134/50</f>
        <v>0</v>
      </c>
      <c r="J136" s="59">
        <v>300</v>
      </c>
      <c r="K136" s="60">
        <f t="shared" ref="K136" si="25">J136*I136</f>
        <v>0</v>
      </c>
      <c r="L136" s="271"/>
      <c r="M136" s="206"/>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outlineLevel="1" x14ac:dyDescent="0.3">
      <c r="A137" s="275">
        <v>29</v>
      </c>
      <c r="B137" s="322" t="s">
        <v>216</v>
      </c>
      <c r="C137" s="302" t="s">
        <v>12</v>
      </c>
      <c r="D137" s="305">
        <v>1</v>
      </c>
      <c r="E137" s="308">
        <v>180</v>
      </c>
      <c r="F137" s="311">
        <f t="shared" ref="F137" si="26">E137*D137</f>
        <v>180</v>
      </c>
      <c r="G137" s="49" t="s">
        <v>42</v>
      </c>
      <c r="H137" s="50" t="s">
        <v>11</v>
      </c>
      <c r="I137" s="85">
        <f>D137*1</f>
        <v>1</v>
      </c>
      <c r="J137" s="82">
        <v>32</v>
      </c>
      <c r="K137" s="51">
        <f>J137*I137</f>
        <v>32</v>
      </c>
      <c r="L137" s="299">
        <f>SUM(K137:K139,F137)</f>
        <v>221.6</v>
      </c>
      <c r="M137" s="212"/>
    </row>
    <row r="138" spans="1:37" s="4" customFormat="1" outlineLevel="1" x14ac:dyDescent="0.25">
      <c r="A138" s="276"/>
      <c r="B138" s="323"/>
      <c r="C138" s="303"/>
      <c r="D138" s="306"/>
      <c r="E138" s="309"/>
      <c r="F138" s="312"/>
      <c r="G138" s="5" t="s">
        <v>72</v>
      </c>
      <c r="H138" s="71" t="s">
        <v>12</v>
      </c>
      <c r="I138" s="74">
        <f>D137/50</f>
        <v>0.02</v>
      </c>
      <c r="J138" s="8">
        <v>300</v>
      </c>
      <c r="K138" s="6">
        <f t="shared" ref="K138" si="27">J138*I138</f>
        <v>6</v>
      </c>
      <c r="L138" s="300"/>
      <c r="M138" s="212"/>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ht="12.6" outlineLevel="1" thickBot="1" x14ac:dyDescent="0.35">
      <c r="A139" s="277"/>
      <c r="B139" s="324"/>
      <c r="C139" s="304"/>
      <c r="D139" s="307"/>
      <c r="E139" s="310"/>
      <c r="F139" s="313"/>
      <c r="G139" s="52" t="s">
        <v>43</v>
      </c>
      <c r="H139" s="53" t="s">
        <v>12</v>
      </c>
      <c r="I139" s="87">
        <f>D137*0.6</f>
        <v>0.6</v>
      </c>
      <c r="J139" s="84">
        <v>6</v>
      </c>
      <c r="K139" s="54">
        <f>J139*I139</f>
        <v>3.5999999999999996</v>
      </c>
      <c r="L139" s="301"/>
      <c r="M139" s="212"/>
    </row>
    <row r="140" spans="1:37" s="4" customFormat="1" ht="14.25" customHeight="1" outlineLevel="1" thickBot="1" x14ac:dyDescent="0.3">
      <c r="A140" s="32">
        <v>30</v>
      </c>
      <c r="B140" s="33" t="s">
        <v>217</v>
      </c>
      <c r="C140" s="63" t="s">
        <v>12</v>
      </c>
      <c r="D140" s="35">
        <v>1</v>
      </c>
      <c r="E140" s="36">
        <v>25</v>
      </c>
      <c r="F140" s="35">
        <f>D140*E140</f>
        <v>25</v>
      </c>
      <c r="G140" s="37" t="s">
        <v>53</v>
      </c>
      <c r="H140" s="63" t="s">
        <v>11</v>
      </c>
      <c r="I140" s="35">
        <f>D140*0.11</f>
        <v>0.11</v>
      </c>
      <c r="J140" s="38">
        <v>40</v>
      </c>
      <c r="K140" s="66">
        <f>J140*I140</f>
        <v>4.4000000000000004</v>
      </c>
      <c r="L140" s="39">
        <f>SUM(K140,F140)</f>
        <v>29.4</v>
      </c>
      <c r="M140" s="206"/>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outlineLevel="1" x14ac:dyDescent="0.3">
      <c r="A141" s="275">
        <v>31</v>
      </c>
      <c r="B141" s="322" t="s">
        <v>218</v>
      </c>
      <c r="C141" s="302" t="s">
        <v>12</v>
      </c>
      <c r="D141" s="305">
        <v>1</v>
      </c>
      <c r="E141" s="308">
        <v>240</v>
      </c>
      <c r="F141" s="311">
        <f t="shared" ref="F141" si="28">E141*D141</f>
        <v>240</v>
      </c>
      <c r="G141" s="49" t="s">
        <v>219</v>
      </c>
      <c r="H141" s="50" t="s">
        <v>11</v>
      </c>
      <c r="I141" s="85">
        <f>D141*0.7</f>
        <v>0.7</v>
      </c>
      <c r="J141" s="82">
        <v>45</v>
      </c>
      <c r="K141" s="51">
        <f t="shared" ref="K141:K142" si="29">J141*I141</f>
        <v>31.499999999999996</v>
      </c>
      <c r="L141" s="299">
        <f>SUM(K141:K142,F141)</f>
        <v>277.5</v>
      </c>
      <c r="M141" s="212"/>
    </row>
    <row r="142" spans="1:37" ht="12.6" outlineLevel="1" thickBot="1" x14ac:dyDescent="0.35">
      <c r="A142" s="277"/>
      <c r="B142" s="324"/>
      <c r="C142" s="304"/>
      <c r="D142" s="307"/>
      <c r="E142" s="310"/>
      <c r="F142" s="313"/>
      <c r="G142" s="58" t="s">
        <v>72</v>
      </c>
      <c r="H142" s="72" t="s">
        <v>12</v>
      </c>
      <c r="I142" s="75">
        <f>D141/50</f>
        <v>0.02</v>
      </c>
      <c r="J142" s="59">
        <v>300</v>
      </c>
      <c r="K142" s="60">
        <f t="shared" si="29"/>
        <v>6</v>
      </c>
      <c r="L142" s="301"/>
      <c r="M142" s="212"/>
    </row>
    <row r="143" spans="1:37" s="4" customFormat="1" outlineLevel="1" x14ac:dyDescent="0.25">
      <c r="A143" s="289">
        <v>32</v>
      </c>
      <c r="B143" s="251" t="s">
        <v>73</v>
      </c>
      <c r="C143" s="297" t="s">
        <v>12</v>
      </c>
      <c r="D143" s="293">
        <v>1</v>
      </c>
      <c r="E143" s="295">
        <v>90</v>
      </c>
      <c r="F143" s="293">
        <f>D143*E143</f>
        <v>90</v>
      </c>
      <c r="G143" s="56" t="s">
        <v>74</v>
      </c>
      <c r="H143" s="70" t="s">
        <v>12</v>
      </c>
      <c r="I143" s="73">
        <f>D143</f>
        <v>1</v>
      </c>
      <c r="J143" s="57">
        <v>16</v>
      </c>
      <c r="K143" s="68">
        <f t="shared" ref="K143" si="30">J143*I143</f>
        <v>16</v>
      </c>
      <c r="L143" s="269">
        <f>SUM(K143:K144,F143)</f>
        <v>206</v>
      </c>
      <c r="M143" s="206"/>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s="4" customFormat="1" ht="12.6" outlineLevel="1" thickBot="1" x14ac:dyDescent="0.3">
      <c r="A144" s="290"/>
      <c r="B144" s="253"/>
      <c r="C144" s="298"/>
      <c r="D144" s="294"/>
      <c r="E144" s="296"/>
      <c r="F144" s="294"/>
      <c r="G144" s="58" t="s">
        <v>172</v>
      </c>
      <c r="H144" s="72" t="s">
        <v>11</v>
      </c>
      <c r="I144" s="75">
        <f>D143*0.25</f>
        <v>0.25</v>
      </c>
      <c r="J144" s="59">
        <v>400</v>
      </c>
      <c r="K144" s="60">
        <f t="shared" ref="K144:K146" si="31">J144*I144</f>
        <v>100</v>
      </c>
      <c r="L144" s="271"/>
      <c r="M144" s="206"/>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s="4" customFormat="1" outlineLevel="1" x14ac:dyDescent="0.25">
      <c r="A145" s="289">
        <v>33</v>
      </c>
      <c r="B145" s="251" t="s">
        <v>222</v>
      </c>
      <c r="C145" s="297" t="s">
        <v>12</v>
      </c>
      <c r="D145" s="293">
        <v>1</v>
      </c>
      <c r="E145" s="295">
        <v>180</v>
      </c>
      <c r="F145" s="293">
        <f>D145*E145</f>
        <v>180</v>
      </c>
      <c r="G145" s="56" t="s">
        <v>226</v>
      </c>
      <c r="H145" s="70" t="s">
        <v>12</v>
      </c>
      <c r="I145" s="73">
        <f>D145*1.2</f>
        <v>1.2</v>
      </c>
      <c r="J145" s="57">
        <v>100</v>
      </c>
      <c r="K145" s="68">
        <f t="shared" si="31"/>
        <v>120</v>
      </c>
      <c r="L145" s="269">
        <f>SUM(K145:K146,F145)</f>
        <v>400</v>
      </c>
      <c r="M145" s="206"/>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s="4" customFormat="1" ht="12.6" outlineLevel="1" thickBot="1" x14ac:dyDescent="0.3">
      <c r="A146" s="290"/>
      <c r="B146" s="253"/>
      <c r="C146" s="298"/>
      <c r="D146" s="294"/>
      <c r="E146" s="296"/>
      <c r="F146" s="294"/>
      <c r="G146" s="58" t="s">
        <v>225</v>
      </c>
      <c r="H146" s="72" t="s">
        <v>11</v>
      </c>
      <c r="I146" s="75">
        <f>D145*0.25</f>
        <v>0.25</v>
      </c>
      <c r="J146" s="59">
        <v>400</v>
      </c>
      <c r="K146" s="60">
        <f t="shared" si="31"/>
        <v>100</v>
      </c>
      <c r="L146" s="271"/>
      <c r="M146" s="206"/>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s="4" customFormat="1" outlineLevel="1" x14ac:dyDescent="0.25">
      <c r="A147" s="289">
        <v>34</v>
      </c>
      <c r="B147" s="251" t="s">
        <v>223</v>
      </c>
      <c r="C147" s="297" t="s">
        <v>12</v>
      </c>
      <c r="D147" s="293">
        <v>1</v>
      </c>
      <c r="E147" s="295">
        <v>180</v>
      </c>
      <c r="F147" s="293">
        <f>D147*E147</f>
        <v>180</v>
      </c>
      <c r="G147" s="56" t="s">
        <v>226</v>
      </c>
      <c r="H147" s="70" t="s">
        <v>12</v>
      </c>
      <c r="I147" s="73">
        <f>D147*1.2</f>
        <v>1.2</v>
      </c>
      <c r="J147" s="57">
        <v>150</v>
      </c>
      <c r="K147" s="68">
        <f t="shared" ref="K147:K148" si="32">J147*I147</f>
        <v>180</v>
      </c>
      <c r="L147" s="269">
        <f>SUM(K147:K148,F147)</f>
        <v>460</v>
      </c>
      <c r="M147" s="206"/>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s="4" customFormat="1" ht="12.6" outlineLevel="1" thickBot="1" x14ac:dyDescent="0.3">
      <c r="A148" s="290"/>
      <c r="B148" s="253"/>
      <c r="C148" s="298"/>
      <c r="D148" s="294"/>
      <c r="E148" s="296"/>
      <c r="F148" s="294"/>
      <c r="G148" s="58" t="s">
        <v>225</v>
      </c>
      <c r="H148" s="72" t="s">
        <v>11</v>
      </c>
      <c r="I148" s="75">
        <f>D147*0.25</f>
        <v>0.25</v>
      </c>
      <c r="J148" s="59">
        <v>400</v>
      </c>
      <c r="K148" s="60">
        <f t="shared" si="32"/>
        <v>100</v>
      </c>
      <c r="L148" s="271"/>
      <c r="M148" s="206"/>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s="4" customFormat="1" outlineLevel="1" x14ac:dyDescent="0.25">
      <c r="A149" s="289">
        <v>35</v>
      </c>
      <c r="B149" s="251" t="s">
        <v>224</v>
      </c>
      <c r="C149" s="297" t="s">
        <v>12</v>
      </c>
      <c r="D149" s="293">
        <v>1</v>
      </c>
      <c r="E149" s="295">
        <v>190</v>
      </c>
      <c r="F149" s="293">
        <f>D149*E149</f>
        <v>190</v>
      </c>
      <c r="G149" s="56" t="s">
        <v>75</v>
      </c>
      <c r="H149" s="70" t="s">
        <v>12</v>
      </c>
      <c r="I149" s="73">
        <f>D149*1.2</f>
        <v>1.2</v>
      </c>
      <c r="J149" s="57">
        <v>150</v>
      </c>
      <c r="K149" s="68">
        <f t="shared" ref="K149:K152" si="33">J149*I149</f>
        <v>180</v>
      </c>
      <c r="L149" s="269">
        <f>SUM(K149:K150,F149)</f>
        <v>470</v>
      </c>
      <c r="M149" s="206"/>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s="4" customFormat="1" ht="12.6" outlineLevel="1" thickBot="1" x14ac:dyDescent="0.3">
      <c r="A150" s="290"/>
      <c r="B150" s="253"/>
      <c r="C150" s="298"/>
      <c r="D150" s="294"/>
      <c r="E150" s="296"/>
      <c r="F150" s="294"/>
      <c r="G150" s="58" t="s">
        <v>225</v>
      </c>
      <c r="H150" s="72" t="s">
        <v>11</v>
      </c>
      <c r="I150" s="75">
        <f>D149*0.25</f>
        <v>0.25</v>
      </c>
      <c r="J150" s="59">
        <v>400</v>
      </c>
      <c r="K150" s="60">
        <f t="shared" si="33"/>
        <v>100</v>
      </c>
      <c r="L150" s="271"/>
      <c r="M150" s="206"/>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s="4" customFormat="1" outlineLevel="1" x14ac:dyDescent="0.25">
      <c r="A151" s="289">
        <v>36</v>
      </c>
      <c r="B151" s="251" t="s">
        <v>227</v>
      </c>
      <c r="C151" s="297" t="s">
        <v>12</v>
      </c>
      <c r="D151" s="293">
        <v>1</v>
      </c>
      <c r="E151" s="295">
        <v>220</v>
      </c>
      <c r="F151" s="293">
        <f>D151*E151</f>
        <v>220</v>
      </c>
      <c r="G151" s="56" t="s">
        <v>226</v>
      </c>
      <c r="H151" s="70" t="s">
        <v>12</v>
      </c>
      <c r="I151" s="73">
        <f>D151*1.3</f>
        <v>1.3</v>
      </c>
      <c r="J151" s="57">
        <v>200</v>
      </c>
      <c r="K151" s="68">
        <f t="shared" si="33"/>
        <v>260</v>
      </c>
      <c r="L151" s="269">
        <f>SUM(K151:K152,F151)</f>
        <v>580</v>
      </c>
      <c r="M151" s="206"/>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s="4" customFormat="1" ht="12.6" outlineLevel="1" thickBot="1" x14ac:dyDescent="0.3">
      <c r="A152" s="290"/>
      <c r="B152" s="253"/>
      <c r="C152" s="298"/>
      <c r="D152" s="294"/>
      <c r="E152" s="296"/>
      <c r="F152" s="294"/>
      <c r="G152" s="58" t="s">
        <v>225</v>
      </c>
      <c r="H152" s="72" t="s">
        <v>11</v>
      </c>
      <c r="I152" s="75">
        <f>D151*0.25</f>
        <v>0.25</v>
      </c>
      <c r="J152" s="59">
        <v>400</v>
      </c>
      <c r="K152" s="60">
        <f t="shared" si="33"/>
        <v>100</v>
      </c>
      <c r="L152" s="271"/>
      <c r="M152" s="206"/>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s="4" customFormat="1" ht="24.6" outlineLevel="1" thickBot="1" x14ac:dyDescent="0.3">
      <c r="A153" s="32">
        <v>37</v>
      </c>
      <c r="B153" s="33" t="s">
        <v>76</v>
      </c>
      <c r="C153" s="63" t="s">
        <v>12</v>
      </c>
      <c r="D153" s="35">
        <v>1</v>
      </c>
      <c r="E153" s="36">
        <v>160</v>
      </c>
      <c r="F153" s="35">
        <f>E153*D153</f>
        <v>160</v>
      </c>
      <c r="G153" s="37" t="s">
        <v>221</v>
      </c>
      <c r="H153" s="63" t="s">
        <v>11</v>
      </c>
      <c r="I153" s="35">
        <f>D153*0.35</f>
        <v>0.35</v>
      </c>
      <c r="J153" s="38">
        <v>420</v>
      </c>
      <c r="K153" s="66">
        <f t="shared" si="24"/>
        <v>147</v>
      </c>
      <c r="L153" s="39">
        <f>SUM(K153,F153)</f>
        <v>307</v>
      </c>
      <c r="M153" s="206"/>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s="4" customFormat="1" outlineLevel="1" x14ac:dyDescent="0.25">
      <c r="A154" s="281">
        <v>38</v>
      </c>
      <c r="B154" s="272" t="s">
        <v>63</v>
      </c>
      <c r="C154" s="284" t="s">
        <v>12</v>
      </c>
      <c r="D154" s="257">
        <v>1</v>
      </c>
      <c r="E154" s="260">
        <v>1000</v>
      </c>
      <c r="F154" s="257">
        <f>E154*D154</f>
        <v>1000</v>
      </c>
      <c r="G154" s="56" t="s">
        <v>64</v>
      </c>
      <c r="H154" s="70" t="s">
        <v>12</v>
      </c>
      <c r="I154" s="73">
        <f>D154*1.2</f>
        <v>1.2</v>
      </c>
      <c r="J154" s="57">
        <v>600</v>
      </c>
      <c r="K154" s="68">
        <f t="shared" ref="K154:K172" si="34">J154*I154</f>
        <v>720</v>
      </c>
      <c r="L154" s="269">
        <f>SUM(K154:K157,F154)</f>
        <v>1904.4</v>
      </c>
      <c r="M154" s="206"/>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s="4" customFormat="1" outlineLevel="1" x14ac:dyDescent="0.25">
      <c r="A155" s="283"/>
      <c r="B155" s="273"/>
      <c r="C155" s="285"/>
      <c r="D155" s="258"/>
      <c r="E155" s="261"/>
      <c r="F155" s="258"/>
      <c r="G155" s="5" t="s">
        <v>65</v>
      </c>
      <c r="H155" s="71" t="s">
        <v>11</v>
      </c>
      <c r="I155" s="74">
        <f>D154*5</f>
        <v>5</v>
      </c>
      <c r="J155" s="8">
        <v>11</v>
      </c>
      <c r="K155" s="6">
        <f t="shared" si="34"/>
        <v>55</v>
      </c>
      <c r="L155" s="270"/>
      <c r="M155" s="206"/>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s="4" customFormat="1" outlineLevel="1" x14ac:dyDescent="0.25">
      <c r="A156" s="283"/>
      <c r="B156" s="273"/>
      <c r="C156" s="285"/>
      <c r="D156" s="258"/>
      <c r="E156" s="261"/>
      <c r="F156" s="258"/>
      <c r="G156" s="5" t="s">
        <v>66</v>
      </c>
      <c r="H156" s="71" t="s">
        <v>11</v>
      </c>
      <c r="I156" s="74">
        <f>D154*0.5</f>
        <v>0.5</v>
      </c>
      <c r="J156" s="8">
        <v>250</v>
      </c>
      <c r="K156" s="6">
        <f t="shared" si="34"/>
        <v>125</v>
      </c>
      <c r="L156" s="270"/>
      <c r="M156" s="206"/>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s="4" customFormat="1" ht="12.6" outlineLevel="1" thickBot="1" x14ac:dyDescent="0.3">
      <c r="A157" s="282"/>
      <c r="B157" s="274"/>
      <c r="C157" s="286"/>
      <c r="D157" s="259"/>
      <c r="E157" s="262"/>
      <c r="F157" s="259"/>
      <c r="G157" s="58" t="s">
        <v>53</v>
      </c>
      <c r="H157" s="72" t="s">
        <v>11</v>
      </c>
      <c r="I157" s="75">
        <f>D154*0.11</f>
        <v>0.11</v>
      </c>
      <c r="J157" s="59">
        <v>40</v>
      </c>
      <c r="K157" s="60">
        <f t="shared" si="34"/>
        <v>4.4000000000000004</v>
      </c>
      <c r="L157" s="271"/>
      <c r="M157" s="206"/>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s="4" customFormat="1" outlineLevel="1" x14ac:dyDescent="0.25">
      <c r="A158" s="281">
        <v>39</v>
      </c>
      <c r="B158" s="272" t="s">
        <v>228</v>
      </c>
      <c r="C158" s="284" t="s">
        <v>12</v>
      </c>
      <c r="D158" s="257">
        <v>1</v>
      </c>
      <c r="E158" s="260">
        <v>1100</v>
      </c>
      <c r="F158" s="257">
        <f>E158*D158</f>
        <v>1100</v>
      </c>
      <c r="G158" s="56" t="s">
        <v>64</v>
      </c>
      <c r="H158" s="70" t="s">
        <v>12</v>
      </c>
      <c r="I158" s="73">
        <f>D158*1.2</f>
        <v>1.2</v>
      </c>
      <c r="J158" s="57">
        <v>600</v>
      </c>
      <c r="K158" s="68">
        <f t="shared" si="34"/>
        <v>720</v>
      </c>
      <c r="L158" s="269">
        <f>SUM(K158:K161,F158)</f>
        <v>2004.4</v>
      </c>
      <c r="M158" s="206"/>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s="4" customFormat="1" outlineLevel="1" x14ac:dyDescent="0.25">
      <c r="A159" s="283"/>
      <c r="B159" s="273"/>
      <c r="C159" s="285"/>
      <c r="D159" s="258"/>
      <c r="E159" s="261"/>
      <c r="F159" s="258"/>
      <c r="G159" s="5" t="s">
        <v>65</v>
      </c>
      <c r="H159" s="71" t="s">
        <v>11</v>
      </c>
      <c r="I159" s="74">
        <f>D158*5</f>
        <v>5</v>
      </c>
      <c r="J159" s="8">
        <v>11</v>
      </c>
      <c r="K159" s="6">
        <f t="shared" si="34"/>
        <v>55</v>
      </c>
      <c r="L159" s="270"/>
      <c r="M159" s="206"/>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s="4" customFormat="1" outlineLevel="1" x14ac:dyDescent="0.25">
      <c r="A160" s="283"/>
      <c r="B160" s="273"/>
      <c r="C160" s="285"/>
      <c r="D160" s="258"/>
      <c r="E160" s="261"/>
      <c r="F160" s="258"/>
      <c r="G160" s="5" t="s">
        <v>66</v>
      </c>
      <c r="H160" s="71" t="s">
        <v>11</v>
      </c>
      <c r="I160" s="74">
        <f>D158*0.5</f>
        <v>0.5</v>
      </c>
      <c r="J160" s="8">
        <v>250</v>
      </c>
      <c r="K160" s="6">
        <f t="shared" si="34"/>
        <v>125</v>
      </c>
      <c r="L160" s="270"/>
      <c r="M160" s="206"/>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7" s="4" customFormat="1" ht="12.6" outlineLevel="1" thickBot="1" x14ac:dyDescent="0.3">
      <c r="A161" s="282"/>
      <c r="B161" s="274"/>
      <c r="C161" s="286"/>
      <c r="D161" s="259"/>
      <c r="E161" s="262"/>
      <c r="F161" s="259"/>
      <c r="G161" s="58" t="s">
        <v>53</v>
      </c>
      <c r="H161" s="72" t="s">
        <v>11</v>
      </c>
      <c r="I161" s="75">
        <f>D158*0.11</f>
        <v>0.11</v>
      </c>
      <c r="J161" s="59">
        <v>40</v>
      </c>
      <c r="K161" s="60">
        <f t="shared" si="34"/>
        <v>4.4000000000000004</v>
      </c>
      <c r="L161" s="271"/>
      <c r="M161" s="206"/>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1:37" s="4" customFormat="1" outlineLevel="1" x14ac:dyDescent="0.25">
      <c r="A162" s="281">
        <v>40</v>
      </c>
      <c r="B162" s="272" t="s">
        <v>213</v>
      </c>
      <c r="C162" s="284" t="s">
        <v>12</v>
      </c>
      <c r="D162" s="257">
        <v>1</v>
      </c>
      <c r="E162" s="260">
        <v>1500</v>
      </c>
      <c r="F162" s="257">
        <f>E162*D162</f>
        <v>1500</v>
      </c>
      <c r="G162" s="56" t="s">
        <v>214</v>
      </c>
      <c r="H162" s="70" t="s">
        <v>12</v>
      </c>
      <c r="I162" s="73">
        <f>D162*1.2</f>
        <v>1.2</v>
      </c>
      <c r="J162" s="57">
        <v>1500</v>
      </c>
      <c r="K162" s="68">
        <f t="shared" si="34"/>
        <v>1800</v>
      </c>
      <c r="L162" s="269">
        <f>SUM(K162:K165,F162)</f>
        <v>3859.4</v>
      </c>
      <c r="M162" s="206"/>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1:37" s="4" customFormat="1" outlineLevel="1" x14ac:dyDescent="0.25">
      <c r="A163" s="283"/>
      <c r="B163" s="273"/>
      <c r="C163" s="285"/>
      <c r="D163" s="258"/>
      <c r="E163" s="261"/>
      <c r="F163" s="258"/>
      <c r="G163" s="5" t="s">
        <v>65</v>
      </c>
      <c r="H163" s="71" t="s">
        <v>11</v>
      </c>
      <c r="I163" s="74">
        <f>D162*5</f>
        <v>5</v>
      </c>
      <c r="J163" s="8">
        <v>11</v>
      </c>
      <c r="K163" s="6">
        <f t="shared" si="34"/>
        <v>55</v>
      </c>
      <c r="L163" s="270"/>
      <c r="M163" s="206"/>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1:37" s="4" customFormat="1" outlineLevel="1" x14ac:dyDescent="0.25">
      <c r="A164" s="283"/>
      <c r="B164" s="273"/>
      <c r="C164" s="285"/>
      <c r="D164" s="258"/>
      <c r="E164" s="261"/>
      <c r="F164" s="258"/>
      <c r="G164" s="5" t="s">
        <v>66</v>
      </c>
      <c r="H164" s="71" t="s">
        <v>11</v>
      </c>
      <c r="I164" s="74">
        <f>D162*2</f>
        <v>2</v>
      </c>
      <c r="J164" s="8">
        <v>250</v>
      </c>
      <c r="K164" s="6">
        <f t="shared" si="34"/>
        <v>500</v>
      </c>
      <c r="L164" s="270"/>
      <c r="M164" s="206"/>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37" s="4" customFormat="1" ht="12.6" outlineLevel="1" thickBot="1" x14ac:dyDescent="0.3">
      <c r="A165" s="282"/>
      <c r="B165" s="274"/>
      <c r="C165" s="286"/>
      <c r="D165" s="259"/>
      <c r="E165" s="262"/>
      <c r="F165" s="259"/>
      <c r="G165" s="58" t="s">
        <v>53</v>
      </c>
      <c r="H165" s="72" t="s">
        <v>11</v>
      </c>
      <c r="I165" s="75">
        <f>D162*0.11</f>
        <v>0.11</v>
      </c>
      <c r="J165" s="59">
        <v>40</v>
      </c>
      <c r="K165" s="60">
        <f t="shared" si="34"/>
        <v>4.4000000000000004</v>
      </c>
      <c r="L165" s="271"/>
      <c r="M165" s="206"/>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1:37" s="4" customFormat="1" ht="14.25" customHeight="1" outlineLevel="1" thickBot="1" x14ac:dyDescent="0.3">
      <c r="A166" s="69">
        <v>41</v>
      </c>
      <c r="B166" s="94" t="s">
        <v>390</v>
      </c>
      <c r="C166" s="96" t="s">
        <v>12</v>
      </c>
      <c r="D166" s="73">
        <v>1</v>
      </c>
      <c r="E166" s="76">
        <v>500</v>
      </c>
      <c r="F166" s="73">
        <f>E166*D166</f>
        <v>500</v>
      </c>
      <c r="G166" s="56" t="s">
        <v>106</v>
      </c>
      <c r="H166" s="70" t="s">
        <v>40</v>
      </c>
      <c r="I166" s="73">
        <f>D166*1</f>
        <v>1</v>
      </c>
      <c r="J166" s="57">
        <v>400</v>
      </c>
      <c r="K166" s="68">
        <f t="shared" ref="K166:K168" si="35">J166*I166</f>
        <v>400</v>
      </c>
      <c r="L166" s="98">
        <f>SUM(K166:K166,F166)</f>
        <v>900</v>
      </c>
      <c r="M166" s="206"/>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37" s="10" customFormat="1" outlineLevel="1" x14ac:dyDescent="0.2">
      <c r="A167" s="281">
        <v>42</v>
      </c>
      <c r="B167" s="272" t="s">
        <v>391</v>
      </c>
      <c r="C167" s="254" t="s">
        <v>12</v>
      </c>
      <c r="D167" s="257">
        <v>1</v>
      </c>
      <c r="E167" s="291">
        <v>1500</v>
      </c>
      <c r="F167" s="257">
        <f>E167*D167</f>
        <v>1500</v>
      </c>
      <c r="G167" s="56" t="s">
        <v>392</v>
      </c>
      <c r="H167" s="70" t="s">
        <v>40</v>
      </c>
      <c r="I167" s="73">
        <f>D167</f>
        <v>1</v>
      </c>
      <c r="J167" s="57">
        <v>3500</v>
      </c>
      <c r="K167" s="73">
        <f t="shared" si="35"/>
        <v>3500</v>
      </c>
      <c r="L167" s="357">
        <f>SUM(K167:K168,F167)</f>
        <v>5060</v>
      </c>
      <c r="M167" s="206"/>
      <c r="N167" s="9"/>
      <c r="O167" s="9"/>
      <c r="P167" s="9"/>
      <c r="Q167" s="9"/>
      <c r="R167" s="9"/>
      <c r="S167" s="9"/>
      <c r="T167" s="9"/>
      <c r="U167" s="9"/>
      <c r="V167" s="9"/>
      <c r="W167" s="9"/>
      <c r="X167" s="9"/>
      <c r="Y167" s="9"/>
      <c r="Z167" s="9"/>
      <c r="AA167" s="9"/>
      <c r="AB167" s="9"/>
      <c r="AC167" s="9"/>
      <c r="AD167" s="9"/>
      <c r="AE167" s="9"/>
      <c r="AF167" s="9"/>
      <c r="AG167" s="9"/>
      <c r="AH167" s="9"/>
      <c r="AI167" s="9"/>
      <c r="AJ167" s="9"/>
      <c r="AK167" s="9"/>
    </row>
    <row r="168" spans="1:37" s="10" customFormat="1" ht="12.6" outlineLevel="1" thickBot="1" x14ac:dyDescent="0.25">
      <c r="A168" s="282"/>
      <c r="B168" s="274"/>
      <c r="C168" s="256"/>
      <c r="D168" s="259"/>
      <c r="E168" s="292"/>
      <c r="F168" s="259"/>
      <c r="G168" s="58" t="s">
        <v>99</v>
      </c>
      <c r="H168" s="72" t="s">
        <v>40</v>
      </c>
      <c r="I168" s="75">
        <f>D167*6</f>
        <v>6</v>
      </c>
      <c r="J168" s="59">
        <v>10</v>
      </c>
      <c r="K168" s="75">
        <f t="shared" si="35"/>
        <v>60</v>
      </c>
      <c r="L168" s="359"/>
      <c r="M168" s="206"/>
      <c r="N168" s="9"/>
      <c r="O168" s="9"/>
      <c r="P168" s="9"/>
      <c r="Q168" s="9"/>
      <c r="R168" s="9"/>
      <c r="S168" s="9"/>
      <c r="T168" s="9"/>
      <c r="U168" s="9"/>
      <c r="V168" s="9"/>
      <c r="W168" s="9"/>
      <c r="X168" s="9"/>
      <c r="Y168" s="9"/>
      <c r="Z168" s="9"/>
      <c r="AA168" s="9"/>
      <c r="AB168" s="9"/>
      <c r="AC168" s="9"/>
      <c r="AD168" s="9"/>
      <c r="AE168" s="9"/>
      <c r="AF168" s="9"/>
      <c r="AG168" s="9"/>
      <c r="AH168" s="9"/>
      <c r="AI168" s="9"/>
      <c r="AJ168" s="9"/>
      <c r="AK168" s="9"/>
    </row>
    <row r="169" spans="1:37" s="10" customFormat="1" outlineLevel="1" x14ac:dyDescent="0.2">
      <c r="A169" s="281">
        <v>43</v>
      </c>
      <c r="B169" s="272" t="s">
        <v>233</v>
      </c>
      <c r="C169" s="254" t="s">
        <v>12</v>
      </c>
      <c r="D169" s="257">
        <v>1</v>
      </c>
      <c r="E169" s="291">
        <v>120</v>
      </c>
      <c r="F169" s="257">
        <f>E169*D169</f>
        <v>120</v>
      </c>
      <c r="G169" s="56" t="s">
        <v>234</v>
      </c>
      <c r="H169" s="70" t="s">
        <v>14</v>
      </c>
      <c r="I169" s="73">
        <f>D169*2.5</f>
        <v>2.5</v>
      </c>
      <c r="J169" s="57">
        <v>30</v>
      </c>
      <c r="K169" s="73">
        <f t="shared" si="34"/>
        <v>75</v>
      </c>
      <c r="L169" s="357">
        <f>SUM(K169:K171,F169)</f>
        <v>256</v>
      </c>
      <c r="M169" s="206"/>
      <c r="N169" s="9"/>
      <c r="O169" s="9"/>
      <c r="P169" s="9"/>
      <c r="Q169" s="9"/>
      <c r="R169" s="9"/>
      <c r="S169" s="9"/>
      <c r="T169" s="9"/>
      <c r="U169" s="9"/>
      <c r="V169" s="9"/>
      <c r="W169" s="9"/>
      <c r="X169" s="9"/>
      <c r="Y169" s="9"/>
      <c r="Z169" s="9"/>
      <c r="AA169" s="9"/>
      <c r="AB169" s="9"/>
      <c r="AC169" s="9"/>
      <c r="AD169" s="9"/>
      <c r="AE169" s="9"/>
      <c r="AF169" s="9"/>
      <c r="AG169" s="9"/>
      <c r="AH169" s="9"/>
      <c r="AI169" s="9"/>
      <c r="AJ169" s="9"/>
      <c r="AK169" s="9"/>
    </row>
    <row r="170" spans="1:37" s="10" customFormat="1" outlineLevel="1" x14ac:dyDescent="0.2">
      <c r="A170" s="283"/>
      <c r="B170" s="273"/>
      <c r="C170" s="255"/>
      <c r="D170" s="258"/>
      <c r="E170" s="360"/>
      <c r="F170" s="258"/>
      <c r="G170" s="5" t="s">
        <v>235</v>
      </c>
      <c r="H170" s="71" t="s">
        <v>40</v>
      </c>
      <c r="I170" s="74">
        <f>D169*4</f>
        <v>4</v>
      </c>
      <c r="J170" s="8">
        <v>0.25</v>
      </c>
      <c r="K170" s="74">
        <f t="shared" si="34"/>
        <v>1</v>
      </c>
      <c r="L170" s="358"/>
      <c r="M170" s="206"/>
      <c r="N170" s="9"/>
      <c r="O170" s="9"/>
      <c r="P170" s="9"/>
      <c r="Q170" s="9"/>
      <c r="R170" s="9"/>
      <c r="S170" s="9"/>
      <c r="T170" s="9"/>
      <c r="U170" s="9"/>
      <c r="V170" s="9"/>
      <c r="W170" s="9"/>
      <c r="X170" s="9"/>
      <c r="Y170" s="9"/>
      <c r="Z170" s="9"/>
      <c r="AA170" s="9"/>
      <c r="AB170" s="9"/>
      <c r="AC170" s="9"/>
      <c r="AD170" s="9"/>
      <c r="AE170" s="9"/>
      <c r="AF170" s="9"/>
      <c r="AG170" s="9"/>
      <c r="AH170" s="9"/>
      <c r="AI170" s="9"/>
      <c r="AJ170" s="9"/>
      <c r="AK170" s="9"/>
    </row>
    <row r="171" spans="1:37" s="10" customFormat="1" ht="12.6" outlineLevel="1" thickBot="1" x14ac:dyDescent="0.25">
      <c r="A171" s="282"/>
      <c r="B171" s="274"/>
      <c r="C171" s="256"/>
      <c r="D171" s="259"/>
      <c r="E171" s="292"/>
      <c r="F171" s="259"/>
      <c r="G171" s="58" t="s">
        <v>99</v>
      </c>
      <c r="H171" s="72" t="s">
        <v>40</v>
      </c>
      <c r="I171" s="75">
        <f>D169*6</f>
        <v>6</v>
      </c>
      <c r="J171" s="59">
        <v>10</v>
      </c>
      <c r="K171" s="75">
        <f t="shared" si="34"/>
        <v>60</v>
      </c>
      <c r="L171" s="359"/>
      <c r="M171" s="206"/>
      <c r="N171" s="9"/>
      <c r="O171" s="9"/>
      <c r="P171" s="9"/>
      <c r="Q171" s="9"/>
      <c r="R171" s="9"/>
      <c r="S171" s="9"/>
      <c r="T171" s="9"/>
      <c r="U171" s="9"/>
      <c r="V171" s="9"/>
      <c r="W171" s="9"/>
      <c r="X171" s="9"/>
      <c r="Y171" s="9"/>
      <c r="Z171" s="9"/>
      <c r="AA171" s="9"/>
      <c r="AB171" s="9"/>
      <c r="AC171" s="9"/>
      <c r="AD171" s="9"/>
      <c r="AE171" s="9"/>
      <c r="AF171" s="9"/>
      <c r="AG171" s="9"/>
      <c r="AH171" s="9"/>
      <c r="AI171" s="9"/>
      <c r="AJ171" s="9"/>
      <c r="AK171" s="9"/>
    </row>
    <row r="172" spans="1:37" s="10" customFormat="1" outlineLevel="1" x14ac:dyDescent="0.2">
      <c r="A172" s="281">
        <v>44</v>
      </c>
      <c r="B172" s="272" t="s">
        <v>237</v>
      </c>
      <c r="C172" s="254" t="s">
        <v>12</v>
      </c>
      <c r="D172" s="257">
        <v>1</v>
      </c>
      <c r="E172" s="291">
        <v>280</v>
      </c>
      <c r="F172" s="257">
        <f>E172*D172</f>
        <v>280</v>
      </c>
      <c r="G172" s="56" t="s">
        <v>236</v>
      </c>
      <c r="H172" s="70" t="s">
        <v>12</v>
      </c>
      <c r="I172" s="73">
        <f>D172*1.2</f>
        <v>1.2</v>
      </c>
      <c r="J172" s="57">
        <v>180</v>
      </c>
      <c r="K172" s="73">
        <f t="shared" si="34"/>
        <v>216</v>
      </c>
      <c r="L172" s="357">
        <f>SUM(K172:K173,F172)</f>
        <v>521</v>
      </c>
      <c r="M172" s="206"/>
      <c r="N172" s="9"/>
      <c r="O172" s="9"/>
      <c r="P172" s="9"/>
      <c r="Q172" s="9"/>
      <c r="R172" s="9"/>
      <c r="S172" s="9"/>
      <c r="T172" s="9"/>
      <c r="U172" s="9"/>
      <c r="V172" s="9"/>
      <c r="W172" s="9"/>
      <c r="X172" s="9"/>
      <c r="Y172" s="9"/>
      <c r="Z172" s="9"/>
      <c r="AA172" s="9"/>
      <c r="AB172" s="9"/>
      <c r="AC172" s="9"/>
      <c r="AD172" s="9"/>
      <c r="AE172" s="9"/>
      <c r="AF172" s="9"/>
      <c r="AG172" s="9"/>
      <c r="AH172" s="9"/>
      <c r="AI172" s="9"/>
      <c r="AJ172" s="9"/>
      <c r="AK172" s="9"/>
    </row>
    <row r="173" spans="1:37" s="10" customFormat="1" ht="12.6" outlineLevel="1" thickBot="1" x14ac:dyDescent="0.25">
      <c r="A173" s="282"/>
      <c r="B173" s="274"/>
      <c r="C173" s="256"/>
      <c r="D173" s="259"/>
      <c r="E173" s="292"/>
      <c r="F173" s="259"/>
      <c r="G173" s="58" t="s">
        <v>69</v>
      </c>
      <c r="H173" s="72" t="s">
        <v>40</v>
      </c>
      <c r="I173" s="75">
        <f>D172*25</f>
        <v>25</v>
      </c>
      <c r="J173" s="59">
        <v>1</v>
      </c>
      <c r="K173" s="60">
        <f t="shared" ref="K173" si="36">J173*I173</f>
        <v>25</v>
      </c>
      <c r="L173" s="359"/>
      <c r="M173" s="206"/>
      <c r="N173" s="9"/>
      <c r="O173" s="9"/>
      <c r="P173" s="9"/>
      <c r="Q173" s="9"/>
      <c r="R173" s="9"/>
      <c r="S173" s="9"/>
      <c r="T173" s="9"/>
      <c r="U173" s="9"/>
      <c r="V173" s="9"/>
      <c r="W173" s="9"/>
      <c r="X173" s="9"/>
      <c r="Y173" s="9"/>
      <c r="Z173" s="9"/>
      <c r="AA173" s="9"/>
      <c r="AB173" s="9"/>
      <c r="AC173" s="9"/>
      <c r="AD173" s="9"/>
      <c r="AE173" s="9"/>
      <c r="AF173" s="9"/>
      <c r="AG173" s="9"/>
      <c r="AH173" s="9"/>
      <c r="AI173" s="9"/>
      <c r="AJ173" s="9"/>
      <c r="AK173" s="9"/>
    </row>
    <row r="174" spans="1:37" s="10" customFormat="1" outlineLevel="1" x14ac:dyDescent="0.2">
      <c r="A174" s="281">
        <v>45</v>
      </c>
      <c r="B174" s="272" t="s">
        <v>238</v>
      </c>
      <c r="C174" s="254" t="s">
        <v>12</v>
      </c>
      <c r="D174" s="257">
        <v>1</v>
      </c>
      <c r="E174" s="291">
        <v>320</v>
      </c>
      <c r="F174" s="257">
        <f>E174*D174</f>
        <v>320</v>
      </c>
      <c r="G174" s="56" t="s">
        <v>239</v>
      </c>
      <c r="H174" s="70" t="s">
        <v>12</v>
      </c>
      <c r="I174" s="73">
        <f>D174*1.2</f>
        <v>1.2</v>
      </c>
      <c r="J174" s="57">
        <v>420</v>
      </c>
      <c r="K174" s="73">
        <f>J174*I174</f>
        <v>504</v>
      </c>
      <c r="L174" s="357">
        <f>SUM(K174:K175,F174)</f>
        <v>839</v>
      </c>
      <c r="M174" s="206"/>
      <c r="N174" s="9"/>
      <c r="O174" s="9"/>
      <c r="P174" s="9"/>
      <c r="Q174" s="9"/>
      <c r="R174" s="9"/>
      <c r="S174" s="9"/>
      <c r="T174" s="9"/>
      <c r="U174" s="9"/>
      <c r="V174" s="9"/>
      <c r="W174" s="9"/>
      <c r="X174" s="9"/>
      <c r="Y174" s="9"/>
      <c r="Z174" s="9"/>
      <c r="AA174" s="9"/>
      <c r="AB174" s="9"/>
      <c r="AC174" s="9"/>
      <c r="AD174" s="9"/>
      <c r="AE174" s="9"/>
      <c r="AF174" s="9"/>
      <c r="AG174" s="9"/>
      <c r="AH174" s="9"/>
      <c r="AI174" s="9"/>
      <c r="AJ174" s="9"/>
      <c r="AK174" s="9"/>
    </row>
    <row r="175" spans="1:37" s="10" customFormat="1" ht="12.6" outlineLevel="1" thickBot="1" x14ac:dyDescent="0.25">
      <c r="A175" s="282"/>
      <c r="B175" s="274"/>
      <c r="C175" s="256"/>
      <c r="D175" s="259"/>
      <c r="E175" s="292"/>
      <c r="F175" s="259"/>
      <c r="G175" s="58" t="s">
        <v>69</v>
      </c>
      <c r="H175" s="72" t="s">
        <v>40</v>
      </c>
      <c r="I175" s="75">
        <f>D174*15</f>
        <v>15</v>
      </c>
      <c r="J175" s="59">
        <v>1</v>
      </c>
      <c r="K175" s="60">
        <f t="shared" ref="K175" si="37">J175*I175</f>
        <v>15</v>
      </c>
      <c r="L175" s="359"/>
      <c r="M175" s="206"/>
      <c r="N175" s="9"/>
      <c r="O175" s="9"/>
      <c r="P175" s="9"/>
      <c r="Q175" s="9"/>
      <c r="R175" s="9"/>
      <c r="S175" s="9"/>
      <c r="T175" s="9"/>
      <c r="U175" s="9"/>
      <c r="V175" s="9"/>
      <c r="W175" s="9"/>
      <c r="X175" s="9"/>
      <c r="Y175" s="9"/>
      <c r="Z175" s="9"/>
      <c r="AA175" s="9"/>
      <c r="AB175" s="9"/>
      <c r="AC175" s="9"/>
      <c r="AD175" s="9"/>
      <c r="AE175" s="9"/>
      <c r="AF175" s="9"/>
      <c r="AG175" s="9"/>
      <c r="AH175" s="9"/>
      <c r="AI175" s="9"/>
      <c r="AJ175" s="9"/>
      <c r="AK175" s="9"/>
    </row>
    <row r="176" spans="1:37" s="10" customFormat="1" outlineLevel="1" x14ac:dyDescent="0.2">
      <c r="A176" s="281">
        <v>46</v>
      </c>
      <c r="B176" s="272" t="s">
        <v>240</v>
      </c>
      <c r="C176" s="254" t="s">
        <v>12</v>
      </c>
      <c r="D176" s="257">
        <v>1</v>
      </c>
      <c r="E176" s="291">
        <v>320</v>
      </c>
      <c r="F176" s="257">
        <f>E176*D176</f>
        <v>320</v>
      </c>
      <c r="G176" s="56" t="s">
        <v>241</v>
      </c>
      <c r="H176" s="70" t="s">
        <v>12</v>
      </c>
      <c r="I176" s="73">
        <f>D176*1.2</f>
        <v>1.2</v>
      </c>
      <c r="J176" s="57">
        <v>120</v>
      </c>
      <c r="K176" s="73">
        <f>J176*I176</f>
        <v>144</v>
      </c>
      <c r="L176" s="357">
        <f>SUM(K176:K177,F176)</f>
        <v>479</v>
      </c>
      <c r="M176" s="206"/>
      <c r="N176" s="9"/>
      <c r="O176" s="9"/>
      <c r="P176" s="9"/>
      <c r="Q176" s="9"/>
      <c r="R176" s="9"/>
      <c r="S176" s="9"/>
      <c r="T176" s="9"/>
      <c r="U176" s="9"/>
      <c r="V176" s="9"/>
      <c r="W176" s="9"/>
      <c r="X176" s="9"/>
      <c r="Y176" s="9"/>
      <c r="Z176" s="9"/>
      <c r="AA176" s="9"/>
      <c r="AB176" s="9"/>
      <c r="AC176" s="9"/>
      <c r="AD176" s="9"/>
      <c r="AE176" s="9"/>
      <c r="AF176" s="9"/>
      <c r="AG176" s="9"/>
      <c r="AH176" s="9"/>
      <c r="AI176" s="9"/>
      <c r="AJ176" s="9"/>
      <c r="AK176" s="9"/>
    </row>
    <row r="177" spans="1:37" s="10" customFormat="1" ht="12.6" outlineLevel="1" thickBot="1" x14ac:dyDescent="0.25">
      <c r="A177" s="282"/>
      <c r="B177" s="274"/>
      <c r="C177" s="256"/>
      <c r="D177" s="259"/>
      <c r="E177" s="292"/>
      <c r="F177" s="259"/>
      <c r="G177" s="58" t="s">
        <v>69</v>
      </c>
      <c r="H177" s="72" t="s">
        <v>40</v>
      </c>
      <c r="I177" s="75">
        <f>D176*15</f>
        <v>15</v>
      </c>
      <c r="J177" s="59">
        <v>1</v>
      </c>
      <c r="K177" s="60">
        <f t="shared" ref="K177" si="38">J177*I177</f>
        <v>15</v>
      </c>
      <c r="L177" s="359"/>
      <c r="M177" s="206"/>
      <c r="N177" s="9"/>
      <c r="O177" s="9"/>
      <c r="P177" s="9"/>
      <c r="Q177" s="9"/>
      <c r="R177" s="9"/>
      <c r="S177" s="9"/>
      <c r="T177" s="9"/>
      <c r="U177" s="9"/>
      <c r="V177" s="9"/>
      <c r="W177" s="9"/>
      <c r="X177" s="9"/>
      <c r="Y177" s="9"/>
      <c r="Z177" s="9"/>
      <c r="AA177" s="9"/>
      <c r="AB177" s="9"/>
      <c r="AC177" s="9"/>
      <c r="AD177" s="9"/>
      <c r="AE177" s="9"/>
      <c r="AF177" s="9"/>
      <c r="AG177" s="9"/>
      <c r="AH177" s="9"/>
      <c r="AI177" s="9"/>
      <c r="AJ177" s="9"/>
      <c r="AK177" s="9"/>
    </row>
    <row r="178" spans="1:37" s="10" customFormat="1" ht="14.25" customHeight="1" outlineLevel="1" thickBot="1" x14ac:dyDescent="0.25">
      <c r="A178" s="32">
        <v>47</v>
      </c>
      <c r="B178" s="33" t="s">
        <v>242</v>
      </c>
      <c r="C178" s="63" t="s">
        <v>12</v>
      </c>
      <c r="D178" s="35">
        <v>1</v>
      </c>
      <c r="E178" s="107">
        <v>150</v>
      </c>
      <c r="F178" s="35">
        <f>E178*D178</f>
        <v>150</v>
      </c>
      <c r="G178" s="37" t="s">
        <v>243</v>
      </c>
      <c r="H178" s="63" t="s">
        <v>11</v>
      </c>
      <c r="I178" s="35">
        <f>D178*0.3</f>
        <v>0.3</v>
      </c>
      <c r="J178" s="38">
        <v>120</v>
      </c>
      <c r="K178" s="35">
        <f t="shared" ref="K178:K186" si="39">J178*I178</f>
        <v>36</v>
      </c>
      <c r="L178" s="39">
        <f>SUM(K178:K178,F178)</f>
        <v>186</v>
      </c>
      <c r="M178" s="206"/>
      <c r="N178" s="9"/>
      <c r="O178" s="9"/>
      <c r="P178" s="9"/>
      <c r="Q178" s="9"/>
      <c r="R178" s="9"/>
      <c r="S178" s="9"/>
      <c r="T178" s="9"/>
      <c r="U178" s="9"/>
      <c r="V178" s="9"/>
      <c r="W178" s="9"/>
      <c r="X178" s="9"/>
      <c r="Y178" s="9"/>
      <c r="Z178" s="9"/>
      <c r="AA178" s="9"/>
      <c r="AB178" s="9"/>
      <c r="AC178" s="9"/>
      <c r="AD178" s="9"/>
      <c r="AE178" s="9"/>
      <c r="AF178" s="9"/>
      <c r="AG178" s="9"/>
      <c r="AH178" s="9"/>
      <c r="AI178" s="9"/>
      <c r="AJ178" s="9"/>
      <c r="AK178" s="9"/>
    </row>
    <row r="179" spans="1:37" s="10" customFormat="1" outlineLevel="1" x14ac:dyDescent="0.2">
      <c r="A179" s="281">
        <v>48</v>
      </c>
      <c r="B179" s="272" t="s">
        <v>231</v>
      </c>
      <c r="C179" s="254" t="s">
        <v>40</v>
      </c>
      <c r="D179" s="257">
        <v>1</v>
      </c>
      <c r="E179" s="291">
        <v>5500</v>
      </c>
      <c r="F179" s="257">
        <f>E179*D179</f>
        <v>5500</v>
      </c>
      <c r="G179" s="56" t="s">
        <v>232</v>
      </c>
      <c r="H179" s="70" t="s">
        <v>40</v>
      </c>
      <c r="I179" s="73">
        <f>D179</f>
        <v>1</v>
      </c>
      <c r="J179" s="108">
        <v>10000</v>
      </c>
      <c r="K179" s="73">
        <f t="shared" si="39"/>
        <v>10000</v>
      </c>
      <c r="L179" s="357">
        <f>SUM(K179:K181,F179)</f>
        <v>15890</v>
      </c>
      <c r="M179" s="206"/>
      <c r="N179" s="9"/>
      <c r="O179" s="9"/>
      <c r="P179" s="9"/>
      <c r="Q179" s="9"/>
      <c r="R179" s="9"/>
      <c r="S179" s="9"/>
      <c r="T179" s="9"/>
      <c r="U179" s="9"/>
      <c r="V179" s="9"/>
      <c r="W179" s="9"/>
      <c r="X179" s="9"/>
      <c r="Y179" s="9"/>
      <c r="Z179" s="9"/>
      <c r="AA179" s="9"/>
      <c r="AB179" s="9"/>
      <c r="AC179" s="9"/>
      <c r="AD179" s="9"/>
      <c r="AE179" s="9"/>
      <c r="AF179" s="9"/>
      <c r="AG179" s="9"/>
      <c r="AH179" s="9"/>
      <c r="AI179" s="9"/>
      <c r="AJ179" s="9"/>
      <c r="AK179" s="9"/>
    </row>
    <row r="180" spans="1:37" s="10" customFormat="1" outlineLevel="1" x14ac:dyDescent="0.2">
      <c r="A180" s="283"/>
      <c r="B180" s="273"/>
      <c r="C180" s="255"/>
      <c r="D180" s="258"/>
      <c r="E180" s="360"/>
      <c r="F180" s="258"/>
      <c r="G180" s="5" t="s">
        <v>129</v>
      </c>
      <c r="H180" s="71" t="s">
        <v>40</v>
      </c>
      <c r="I180" s="74">
        <f>D179*1.5</f>
        <v>1.5</v>
      </c>
      <c r="J180" s="8">
        <v>220</v>
      </c>
      <c r="K180" s="74">
        <f t="shared" si="39"/>
        <v>330</v>
      </c>
      <c r="L180" s="358"/>
      <c r="M180" s="206"/>
      <c r="N180" s="9"/>
      <c r="O180" s="9"/>
      <c r="P180" s="9"/>
      <c r="Q180" s="9"/>
      <c r="R180" s="9"/>
      <c r="S180" s="9"/>
      <c r="T180" s="9"/>
      <c r="U180" s="9"/>
      <c r="V180" s="9"/>
      <c r="W180" s="9"/>
      <c r="X180" s="9"/>
      <c r="Y180" s="9"/>
      <c r="Z180" s="9"/>
      <c r="AA180" s="9"/>
      <c r="AB180" s="9"/>
      <c r="AC180" s="9"/>
      <c r="AD180" s="9"/>
      <c r="AE180" s="9"/>
      <c r="AF180" s="9"/>
      <c r="AG180" s="9"/>
      <c r="AH180" s="9"/>
      <c r="AI180" s="9"/>
      <c r="AJ180" s="9"/>
      <c r="AK180" s="9"/>
    </row>
    <row r="181" spans="1:37" s="10" customFormat="1" ht="12.6" outlineLevel="1" thickBot="1" x14ac:dyDescent="0.25">
      <c r="A181" s="282"/>
      <c r="B181" s="274"/>
      <c r="C181" s="256"/>
      <c r="D181" s="259"/>
      <c r="E181" s="292"/>
      <c r="F181" s="259"/>
      <c r="G181" s="58" t="s">
        <v>99</v>
      </c>
      <c r="H181" s="72" t="s">
        <v>40</v>
      </c>
      <c r="I181" s="75">
        <f>D179*6</f>
        <v>6</v>
      </c>
      <c r="J181" s="59">
        <v>10</v>
      </c>
      <c r="K181" s="75">
        <f t="shared" si="39"/>
        <v>60</v>
      </c>
      <c r="L181" s="359"/>
      <c r="M181" s="206"/>
      <c r="N181" s="9"/>
      <c r="O181" s="9"/>
      <c r="P181" s="9"/>
      <c r="Q181" s="9"/>
      <c r="R181" s="9"/>
      <c r="S181" s="9"/>
      <c r="T181" s="9"/>
      <c r="U181" s="9"/>
      <c r="V181" s="9"/>
      <c r="W181" s="9"/>
      <c r="X181" s="9"/>
      <c r="Y181" s="9"/>
      <c r="Z181" s="9"/>
      <c r="AA181" s="9"/>
      <c r="AB181" s="9"/>
      <c r="AC181" s="9"/>
      <c r="AD181" s="9"/>
      <c r="AE181" s="9"/>
      <c r="AF181" s="9"/>
      <c r="AG181" s="9"/>
      <c r="AH181" s="9"/>
      <c r="AI181" s="9"/>
      <c r="AJ181" s="9"/>
      <c r="AK181" s="9"/>
    </row>
    <row r="182" spans="1:37" s="10" customFormat="1" ht="24" outlineLevel="1" x14ac:dyDescent="0.2">
      <c r="A182" s="281">
        <v>49</v>
      </c>
      <c r="B182" s="272" t="s">
        <v>229</v>
      </c>
      <c r="C182" s="254" t="s">
        <v>40</v>
      </c>
      <c r="D182" s="257">
        <v>1</v>
      </c>
      <c r="E182" s="291">
        <v>2500</v>
      </c>
      <c r="F182" s="257">
        <f>E182*D182</f>
        <v>2500</v>
      </c>
      <c r="G182" s="56" t="s">
        <v>230</v>
      </c>
      <c r="H182" s="70" t="s">
        <v>40</v>
      </c>
      <c r="I182" s="73">
        <f>D182</f>
        <v>1</v>
      </c>
      <c r="J182" s="57">
        <v>4200</v>
      </c>
      <c r="K182" s="73">
        <f t="shared" si="39"/>
        <v>4200</v>
      </c>
      <c r="L182" s="357">
        <f>SUM(K182:K184,F182)</f>
        <v>7090</v>
      </c>
      <c r="M182" s="206"/>
      <c r="N182" s="9"/>
      <c r="O182" s="9"/>
      <c r="P182" s="9"/>
      <c r="Q182" s="9"/>
      <c r="R182" s="9"/>
      <c r="S182" s="9"/>
      <c r="T182" s="9"/>
      <c r="U182" s="9"/>
      <c r="V182" s="9"/>
      <c r="W182" s="9"/>
      <c r="X182" s="9"/>
      <c r="Y182" s="9"/>
      <c r="Z182" s="9"/>
      <c r="AA182" s="9"/>
      <c r="AB182" s="9"/>
      <c r="AC182" s="9"/>
      <c r="AD182" s="9"/>
      <c r="AE182" s="9"/>
      <c r="AF182" s="9"/>
      <c r="AG182" s="9"/>
      <c r="AH182" s="9"/>
      <c r="AI182" s="9"/>
      <c r="AJ182" s="9"/>
      <c r="AK182" s="9"/>
    </row>
    <row r="183" spans="1:37" s="10" customFormat="1" outlineLevel="1" x14ac:dyDescent="0.2">
      <c r="A183" s="283"/>
      <c r="B183" s="273"/>
      <c r="C183" s="255"/>
      <c r="D183" s="258"/>
      <c r="E183" s="360"/>
      <c r="F183" s="258"/>
      <c r="G183" s="5" t="s">
        <v>129</v>
      </c>
      <c r="H183" s="71" t="s">
        <v>40</v>
      </c>
      <c r="I183" s="74">
        <f>D182*1.5</f>
        <v>1.5</v>
      </c>
      <c r="J183" s="8">
        <v>220</v>
      </c>
      <c r="K183" s="74">
        <f t="shared" si="39"/>
        <v>330</v>
      </c>
      <c r="L183" s="358"/>
      <c r="M183" s="206"/>
      <c r="N183" s="9"/>
      <c r="O183" s="9"/>
      <c r="P183" s="9"/>
      <c r="Q183" s="9"/>
      <c r="R183" s="9"/>
      <c r="S183" s="9"/>
      <c r="T183" s="9"/>
      <c r="U183" s="9"/>
      <c r="V183" s="9"/>
      <c r="W183" s="9"/>
      <c r="X183" s="9"/>
      <c r="Y183" s="9"/>
      <c r="Z183" s="9"/>
      <c r="AA183" s="9"/>
      <c r="AB183" s="9"/>
      <c r="AC183" s="9"/>
      <c r="AD183" s="9"/>
      <c r="AE183" s="9"/>
      <c r="AF183" s="9"/>
      <c r="AG183" s="9"/>
      <c r="AH183" s="9"/>
      <c r="AI183" s="9"/>
      <c r="AJ183" s="9"/>
      <c r="AK183" s="9"/>
    </row>
    <row r="184" spans="1:37" s="10" customFormat="1" ht="12.6" outlineLevel="1" thickBot="1" x14ac:dyDescent="0.25">
      <c r="A184" s="282"/>
      <c r="B184" s="274"/>
      <c r="C184" s="256"/>
      <c r="D184" s="259"/>
      <c r="E184" s="292"/>
      <c r="F184" s="259"/>
      <c r="G184" s="58" t="s">
        <v>99</v>
      </c>
      <c r="H184" s="72" t="s">
        <v>40</v>
      </c>
      <c r="I184" s="75">
        <f>D182*6</f>
        <v>6</v>
      </c>
      <c r="J184" s="59">
        <v>10</v>
      </c>
      <c r="K184" s="75">
        <f t="shared" si="39"/>
        <v>60</v>
      </c>
      <c r="L184" s="359"/>
      <c r="M184" s="206"/>
      <c r="N184" s="9"/>
      <c r="O184" s="9"/>
      <c r="P184" s="9"/>
      <c r="Q184" s="9"/>
      <c r="R184" s="9"/>
      <c r="S184" s="9"/>
      <c r="T184" s="9"/>
      <c r="U184" s="9"/>
      <c r="V184" s="9"/>
      <c r="W184" s="9"/>
      <c r="X184" s="9"/>
      <c r="Y184" s="9"/>
      <c r="Z184" s="9"/>
      <c r="AA184" s="9"/>
      <c r="AB184" s="9"/>
      <c r="AC184" s="9"/>
      <c r="AD184" s="9"/>
      <c r="AE184" s="9"/>
      <c r="AF184" s="9"/>
      <c r="AG184" s="9"/>
      <c r="AH184" s="9"/>
      <c r="AI184" s="9"/>
      <c r="AJ184" s="9"/>
      <c r="AK184" s="9"/>
    </row>
    <row r="185" spans="1:37" s="10" customFormat="1" ht="14.25" customHeight="1" outlineLevel="1" thickBot="1" x14ac:dyDescent="0.25">
      <c r="A185" s="32">
        <v>50</v>
      </c>
      <c r="B185" s="33" t="s">
        <v>130</v>
      </c>
      <c r="C185" s="63" t="s">
        <v>40</v>
      </c>
      <c r="D185" s="35">
        <v>1</v>
      </c>
      <c r="E185" s="107">
        <v>300</v>
      </c>
      <c r="F185" s="35">
        <f>E185*D185</f>
        <v>300</v>
      </c>
      <c r="G185" s="37" t="s">
        <v>131</v>
      </c>
      <c r="H185" s="63" t="s">
        <v>40</v>
      </c>
      <c r="I185" s="35">
        <f>D185</f>
        <v>1</v>
      </c>
      <c r="J185" s="38">
        <v>250</v>
      </c>
      <c r="K185" s="35">
        <f t="shared" si="39"/>
        <v>250</v>
      </c>
      <c r="L185" s="39">
        <f>SUM(K185,F185)</f>
        <v>550</v>
      </c>
      <c r="M185" s="206"/>
      <c r="N185" s="9"/>
      <c r="O185" s="9"/>
      <c r="P185" s="9"/>
      <c r="Q185" s="9"/>
      <c r="R185" s="9"/>
      <c r="S185" s="9"/>
      <c r="T185" s="9"/>
      <c r="U185" s="9"/>
      <c r="V185" s="9"/>
      <c r="W185" s="9"/>
      <c r="X185" s="9"/>
      <c r="Y185" s="9"/>
      <c r="Z185" s="9"/>
      <c r="AA185" s="9"/>
      <c r="AB185" s="9"/>
      <c r="AC185" s="9"/>
      <c r="AD185" s="9"/>
      <c r="AE185" s="9"/>
      <c r="AF185" s="9"/>
      <c r="AG185" s="9"/>
      <c r="AH185" s="9"/>
      <c r="AI185" s="9"/>
      <c r="AJ185" s="9"/>
      <c r="AK185" s="9"/>
    </row>
    <row r="186" spans="1:37" s="12" customFormat="1" ht="14.25" customHeight="1" outlineLevel="1" thickBot="1" x14ac:dyDescent="0.3">
      <c r="A186" s="32">
        <v>51</v>
      </c>
      <c r="B186" s="33" t="s">
        <v>132</v>
      </c>
      <c r="C186" s="63" t="s">
        <v>117</v>
      </c>
      <c r="D186" s="35">
        <v>1</v>
      </c>
      <c r="E186" s="107">
        <v>750</v>
      </c>
      <c r="F186" s="35">
        <f>E186*D186</f>
        <v>750</v>
      </c>
      <c r="G186" s="37" t="s">
        <v>133</v>
      </c>
      <c r="H186" s="63" t="s">
        <v>117</v>
      </c>
      <c r="I186" s="35">
        <f>D186</f>
        <v>1</v>
      </c>
      <c r="J186" s="38">
        <v>2200</v>
      </c>
      <c r="K186" s="35">
        <f t="shared" si="39"/>
        <v>2200</v>
      </c>
      <c r="L186" s="39">
        <f>SUM(K186,F186)</f>
        <v>2950</v>
      </c>
      <c r="M186" s="206"/>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1:37" s="7" customFormat="1" ht="12.6" thickBot="1" x14ac:dyDescent="0.35">
      <c r="A187" s="249" t="s">
        <v>445</v>
      </c>
      <c r="B187" s="250"/>
      <c r="C187" s="250"/>
      <c r="D187" s="250"/>
      <c r="E187" s="250"/>
      <c r="F187" s="149">
        <f>SUM(F55:F186)</f>
        <v>33415</v>
      </c>
      <c r="G187" s="287" t="s">
        <v>444</v>
      </c>
      <c r="H187" s="288"/>
      <c r="I187" s="288"/>
      <c r="J187" s="288"/>
      <c r="K187" s="109">
        <f>SUM(K55:K186)</f>
        <v>37224.756666666661</v>
      </c>
      <c r="L187" s="154"/>
      <c r="M187" s="213"/>
    </row>
    <row r="188" spans="1:37" s="7" customFormat="1" x14ac:dyDescent="0.3">
      <c r="A188" s="361" t="s">
        <v>116</v>
      </c>
      <c r="B188" s="362"/>
      <c r="C188" s="362"/>
      <c r="D188" s="362"/>
      <c r="E188" s="362"/>
      <c r="F188" s="250"/>
      <c r="G188" s="362"/>
      <c r="H188" s="362"/>
      <c r="I188" s="362"/>
      <c r="J188" s="362"/>
      <c r="K188" s="362"/>
      <c r="L188" s="144">
        <f>SUM(L55:L187)</f>
        <v>70639.756666666668</v>
      </c>
      <c r="M188" s="207"/>
    </row>
    <row r="189" spans="1:37" ht="15" customHeight="1" thickBot="1" x14ac:dyDescent="0.35">
      <c r="A189" s="246" t="s">
        <v>45</v>
      </c>
      <c r="B189" s="247"/>
      <c r="C189" s="247"/>
      <c r="D189" s="247"/>
      <c r="E189" s="247"/>
      <c r="F189" s="247"/>
      <c r="G189" s="247"/>
      <c r="H189" s="247"/>
      <c r="I189" s="247"/>
      <c r="J189" s="247"/>
      <c r="K189" s="247"/>
      <c r="L189" s="248"/>
      <c r="M189" s="211"/>
    </row>
    <row r="190" spans="1:37" s="4" customFormat="1" ht="16.5" customHeight="1" outlineLevel="1" thickBot="1" x14ac:dyDescent="0.3">
      <c r="A190" s="32">
        <v>1</v>
      </c>
      <c r="B190" s="33" t="s">
        <v>252</v>
      </c>
      <c r="C190" s="34" t="s">
        <v>12</v>
      </c>
      <c r="D190" s="35">
        <v>1</v>
      </c>
      <c r="E190" s="36">
        <v>25</v>
      </c>
      <c r="F190" s="35">
        <f>E190*D190</f>
        <v>25</v>
      </c>
      <c r="G190" s="37" t="s">
        <v>53</v>
      </c>
      <c r="H190" s="34" t="s">
        <v>11</v>
      </c>
      <c r="I190" s="35">
        <f>D190*0.15</f>
        <v>0.15</v>
      </c>
      <c r="J190" s="38">
        <v>42</v>
      </c>
      <c r="K190" s="35">
        <f>J190*I190</f>
        <v>6.3</v>
      </c>
      <c r="L190" s="39">
        <f>SUM(K190,F190)</f>
        <v>31.3</v>
      </c>
      <c r="M190" s="206"/>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1:37" ht="16.5" customHeight="1" outlineLevel="1" thickBot="1" x14ac:dyDescent="0.35">
      <c r="A191" s="41">
        <v>2</v>
      </c>
      <c r="B191" s="42" t="s">
        <v>17</v>
      </c>
      <c r="C191" s="43" t="s">
        <v>12</v>
      </c>
      <c r="D191" s="44">
        <v>1</v>
      </c>
      <c r="E191" s="45">
        <v>120</v>
      </c>
      <c r="F191" s="46">
        <f t="shared" ref="F191:F192" si="40">E191*D191</f>
        <v>120</v>
      </c>
      <c r="G191" s="42" t="s">
        <v>18</v>
      </c>
      <c r="H191" s="47" t="s">
        <v>11</v>
      </c>
      <c r="I191" s="45">
        <f>D191*4.5</f>
        <v>4.5</v>
      </c>
      <c r="J191" s="44">
        <v>30</v>
      </c>
      <c r="K191" s="46">
        <f t="shared" ref="K191" si="41">J191*I191</f>
        <v>135</v>
      </c>
      <c r="L191" s="48">
        <f>K191+F191</f>
        <v>255</v>
      </c>
      <c r="M191" s="212"/>
    </row>
    <row r="192" spans="1:37" outlineLevel="1" x14ac:dyDescent="0.3">
      <c r="A192" s="275">
        <v>3</v>
      </c>
      <c r="B192" s="322" t="s">
        <v>244</v>
      </c>
      <c r="C192" s="302" t="s">
        <v>12</v>
      </c>
      <c r="D192" s="305">
        <v>1</v>
      </c>
      <c r="E192" s="308">
        <v>380</v>
      </c>
      <c r="F192" s="311">
        <f t="shared" si="40"/>
        <v>380</v>
      </c>
      <c r="G192" s="49" t="s">
        <v>245</v>
      </c>
      <c r="H192" s="50" t="s">
        <v>11</v>
      </c>
      <c r="I192" s="85">
        <v>120</v>
      </c>
      <c r="J192" s="82">
        <v>2.5</v>
      </c>
      <c r="K192" s="51">
        <f t="shared" ref="K192:K198" si="42">J192*I192</f>
        <v>300</v>
      </c>
      <c r="L192" s="299">
        <f>SUM(K192:K193,F192)</f>
        <v>690.5</v>
      </c>
      <c r="M192" s="212"/>
    </row>
    <row r="193" spans="1:37" ht="12.6" outlineLevel="1" thickBot="1" x14ac:dyDescent="0.35">
      <c r="A193" s="277"/>
      <c r="B193" s="324"/>
      <c r="C193" s="304"/>
      <c r="D193" s="307"/>
      <c r="E193" s="310"/>
      <c r="F193" s="313"/>
      <c r="G193" s="52" t="s">
        <v>16</v>
      </c>
      <c r="H193" s="53" t="s">
        <v>12</v>
      </c>
      <c r="I193" s="87">
        <f>D192*1.05</f>
        <v>1.05</v>
      </c>
      <c r="J193" s="84">
        <v>10</v>
      </c>
      <c r="K193" s="54">
        <f t="shared" si="42"/>
        <v>10.5</v>
      </c>
      <c r="L193" s="301"/>
      <c r="M193" s="212"/>
    </row>
    <row r="194" spans="1:37" ht="24" customHeight="1" outlineLevel="1" thickBot="1" x14ac:dyDescent="0.35">
      <c r="A194" s="41">
        <v>4</v>
      </c>
      <c r="B194" s="42" t="s">
        <v>246</v>
      </c>
      <c r="C194" s="43" t="s">
        <v>12</v>
      </c>
      <c r="D194" s="44">
        <v>1</v>
      </c>
      <c r="E194" s="45">
        <v>80</v>
      </c>
      <c r="F194" s="46">
        <f t="shared" ref="F194" si="43">E194*D194</f>
        <v>80</v>
      </c>
      <c r="G194" s="42" t="s">
        <v>245</v>
      </c>
      <c r="H194" s="47" t="s">
        <v>11</v>
      </c>
      <c r="I194" s="45">
        <v>40</v>
      </c>
      <c r="J194" s="44">
        <v>2.5</v>
      </c>
      <c r="K194" s="46">
        <f t="shared" si="42"/>
        <v>100</v>
      </c>
      <c r="L194" s="48">
        <f>SUM(K194:K194,F194)</f>
        <v>180</v>
      </c>
      <c r="M194" s="212"/>
    </row>
    <row r="195" spans="1:37" outlineLevel="1" x14ac:dyDescent="0.3">
      <c r="A195" s="275">
        <v>5</v>
      </c>
      <c r="B195" s="322" t="s">
        <v>24</v>
      </c>
      <c r="C195" s="302" t="s">
        <v>12</v>
      </c>
      <c r="D195" s="305">
        <v>1</v>
      </c>
      <c r="E195" s="308">
        <v>350</v>
      </c>
      <c r="F195" s="311">
        <f t="shared" ref="F195" si="44">E195*D195</f>
        <v>350</v>
      </c>
      <c r="G195" s="49" t="s">
        <v>19</v>
      </c>
      <c r="H195" s="50" t="s">
        <v>11</v>
      </c>
      <c r="I195" s="85">
        <f>D195*40</f>
        <v>40</v>
      </c>
      <c r="J195" s="82">
        <v>5</v>
      </c>
      <c r="K195" s="51">
        <f t="shared" si="42"/>
        <v>200</v>
      </c>
      <c r="L195" s="299">
        <f>SUM(K195:K198,F195)</f>
        <v>624.42000000000007</v>
      </c>
      <c r="M195" s="212"/>
    </row>
    <row r="196" spans="1:37" outlineLevel="1" x14ac:dyDescent="0.3">
      <c r="A196" s="276"/>
      <c r="B196" s="323"/>
      <c r="C196" s="303"/>
      <c r="D196" s="306"/>
      <c r="E196" s="309"/>
      <c r="F196" s="312"/>
      <c r="G196" s="99" t="s">
        <v>15</v>
      </c>
      <c r="H196" s="90" t="s">
        <v>13</v>
      </c>
      <c r="I196" s="86">
        <f>D195*0.07</f>
        <v>7.0000000000000007E-2</v>
      </c>
      <c r="J196" s="83">
        <v>800</v>
      </c>
      <c r="K196" s="101">
        <f t="shared" si="42"/>
        <v>56.000000000000007</v>
      </c>
      <c r="L196" s="300"/>
      <c r="M196" s="212"/>
    </row>
    <row r="197" spans="1:37" outlineLevel="1" x14ac:dyDescent="0.3">
      <c r="A197" s="276"/>
      <c r="B197" s="323"/>
      <c r="C197" s="303"/>
      <c r="D197" s="306"/>
      <c r="E197" s="309"/>
      <c r="F197" s="312"/>
      <c r="G197" s="99" t="s">
        <v>16</v>
      </c>
      <c r="H197" s="90" t="s">
        <v>12</v>
      </c>
      <c r="I197" s="86">
        <f>D195*1.05</f>
        <v>1.05</v>
      </c>
      <c r="J197" s="83">
        <v>10</v>
      </c>
      <c r="K197" s="101">
        <f t="shared" si="42"/>
        <v>10.5</v>
      </c>
      <c r="L197" s="300"/>
      <c r="M197" s="212"/>
    </row>
    <row r="198" spans="1:37" ht="12.6" outlineLevel="1" thickBot="1" x14ac:dyDescent="0.35">
      <c r="A198" s="277"/>
      <c r="B198" s="324"/>
      <c r="C198" s="304"/>
      <c r="D198" s="307"/>
      <c r="E198" s="310"/>
      <c r="F198" s="313"/>
      <c r="G198" s="52" t="s">
        <v>20</v>
      </c>
      <c r="H198" s="53" t="s">
        <v>11</v>
      </c>
      <c r="I198" s="87">
        <f>D195*0.04</f>
        <v>0.04</v>
      </c>
      <c r="J198" s="84">
        <v>198</v>
      </c>
      <c r="K198" s="54">
        <f t="shared" si="42"/>
        <v>7.92</v>
      </c>
      <c r="L198" s="301"/>
      <c r="M198" s="212"/>
    </row>
    <row r="199" spans="1:37" outlineLevel="1" x14ac:dyDescent="0.3">
      <c r="A199" s="275">
        <v>6</v>
      </c>
      <c r="B199" s="322" t="s">
        <v>21</v>
      </c>
      <c r="C199" s="302" t="s">
        <v>12</v>
      </c>
      <c r="D199" s="305">
        <v>1</v>
      </c>
      <c r="E199" s="308">
        <v>370</v>
      </c>
      <c r="F199" s="311">
        <v>300</v>
      </c>
      <c r="G199" s="49" t="s">
        <v>19</v>
      </c>
      <c r="H199" s="50" t="s">
        <v>11</v>
      </c>
      <c r="I199" s="85">
        <f>D199*35</f>
        <v>35</v>
      </c>
      <c r="J199" s="82">
        <v>6</v>
      </c>
      <c r="K199" s="51">
        <f t="shared" ref="K199:K203" si="45">J199*I199</f>
        <v>210</v>
      </c>
      <c r="L199" s="299">
        <f>SUM(K199:K203,F199)</f>
        <v>595.02</v>
      </c>
      <c r="M199" s="212"/>
    </row>
    <row r="200" spans="1:37" outlineLevel="1" x14ac:dyDescent="0.3">
      <c r="A200" s="276"/>
      <c r="B200" s="323"/>
      <c r="C200" s="303"/>
      <c r="D200" s="306"/>
      <c r="E200" s="309"/>
      <c r="F200" s="312"/>
      <c r="G200" s="99" t="s">
        <v>15</v>
      </c>
      <c r="H200" s="90" t="s">
        <v>13</v>
      </c>
      <c r="I200" s="86">
        <f>D199*0.07</f>
        <v>7.0000000000000007E-2</v>
      </c>
      <c r="J200" s="83">
        <v>900</v>
      </c>
      <c r="K200" s="101">
        <f t="shared" si="45"/>
        <v>63.000000000000007</v>
      </c>
      <c r="L200" s="300"/>
      <c r="M200" s="212"/>
    </row>
    <row r="201" spans="1:37" outlineLevel="1" x14ac:dyDescent="0.3">
      <c r="A201" s="276"/>
      <c r="B201" s="323"/>
      <c r="C201" s="303"/>
      <c r="D201" s="306"/>
      <c r="E201" s="309"/>
      <c r="F201" s="312"/>
      <c r="G201" s="99" t="s">
        <v>16</v>
      </c>
      <c r="H201" s="90" t="s">
        <v>12</v>
      </c>
      <c r="I201" s="86">
        <f>D199*1.05</f>
        <v>1.05</v>
      </c>
      <c r="J201" s="83">
        <v>10</v>
      </c>
      <c r="K201" s="101">
        <f t="shared" si="45"/>
        <v>10.5</v>
      </c>
      <c r="L201" s="300"/>
      <c r="M201" s="212"/>
    </row>
    <row r="202" spans="1:37" outlineLevel="1" x14ac:dyDescent="0.3">
      <c r="A202" s="276"/>
      <c r="B202" s="323"/>
      <c r="C202" s="303"/>
      <c r="D202" s="306"/>
      <c r="E202" s="309"/>
      <c r="F202" s="312"/>
      <c r="G202" s="99" t="s">
        <v>20</v>
      </c>
      <c r="H202" s="90" t="s">
        <v>11</v>
      </c>
      <c r="I202" s="86">
        <f>D199*0.04</f>
        <v>0.04</v>
      </c>
      <c r="J202" s="83">
        <v>198</v>
      </c>
      <c r="K202" s="101">
        <f t="shared" si="45"/>
        <v>7.92</v>
      </c>
      <c r="L202" s="300"/>
      <c r="M202" s="212"/>
    </row>
    <row r="203" spans="1:37" ht="12.6" outlineLevel="1" thickBot="1" x14ac:dyDescent="0.35">
      <c r="A203" s="277"/>
      <c r="B203" s="324"/>
      <c r="C203" s="304"/>
      <c r="D203" s="307"/>
      <c r="E203" s="310"/>
      <c r="F203" s="313"/>
      <c r="G203" s="52" t="s">
        <v>22</v>
      </c>
      <c r="H203" s="53" t="s">
        <v>23</v>
      </c>
      <c r="I203" s="87">
        <f>D199*0.3</f>
        <v>0.3</v>
      </c>
      <c r="J203" s="84">
        <v>12</v>
      </c>
      <c r="K203" s="54">
        <f t="shared" si="45"/>
        <v>3.5999999999999996</v>
      </c>
      <c r="L203" s="301"/>
      <c r="M203" s="212"/>
    </row>
    <row r="204" spans="1:37" s="4" customFormat="1" outlineLevel="1" x14ac:dyDescent="0.25">
      <c r="A204" s="281">
        <v>7</v>
      </c>
      <c r="B204" s="251" t="s">
        <v>250</v>
      </c>
      <c r="C204" s="284" t="s">
        <v>12</v>
      </c>
      <c r="D204" s="257">
        <v>1</v>
      </c>
      <c r="E204" s="260">
        <v>280</v>
      </c>
      <c r="F204" s="257">
        <f>E204*D204</f>
        <v>280</v>
      </c>
      <c r="G204" s="56" t="s">
        <v>103</v>
      </c>
      <c r="H204" s="96" t="s">
        <v>11</v>
      </c>
      <c r="I204" s="73">
        <f>D204*55</f>
        <v>55</v>
      </c>
      <c r="J204" s="57">
        <v>4.8</v>
      </c>
      <c r="K204" s="73">
        <f>J204*I204</f>
        <v>264</v>
      </c>
      <c r="L204" s="269">
        <f>SUM(K204:K205,F204)</f>
        <v>549.5</v>
      </c>
      <c r="M204" s="206"/>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1:37" s="4" customFormat="1" ht="12.6" outlineLevel="1" thickBot="1" x14ac:dyDescent="0.3">
      <c r="A205" s="282"/>
      <c r="B205" s="253"/>
      <c r="C205" s="286"/>
      <c r="D205" s="259"/>
      <c r="E205" s="262"/>
      <c r="F205" s="259"/>
      <c r="G205" s="58" t="s">
        <v>96</v>
      </c>
      <c r="H205" s="97" t="s">
        <v>14</v>
      </c>
      <c r="I205" s="75">
        <f>D204/4</f>
        <v>0.25</v>
      </c>
      <c r="J205" s="59">
        <v>22</v>
      </c>
      <c r="K205" s="75">
        <f>J205*I205</f>
        <v>5.5</v>
      </c>
      <c r="L205" s="271"/>
      <c r="M205" s="206"/>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37" s="40" customFormat="1" ht="26.25" customHeight="1" outlineLevel="1" thickBot="1" x14ac:dyDescent="0.25">
      <c r="A206" s="32">
        <v>8</v>
      </c>
      <c r="B206" s="33" t="s">
        <v>251</v>
      </c>
      <c r="C206" s="34" t="s">
        <v>12</v>
      </c>
      <c r="D206" s="35">
        <v>1</v>
      </c>
      <c r="E206" s="36">
        <v>280</v>
      </c>
      <c r="F206" s="35">
        <f t="shared" ref="F206:F207" si="46">E206*D206</f>
        <v>280</v>
      </c>
      <c r="G206" s="37" t="s">
        <v>247</v>
      </c>
      <c r="H206" s="34" t="s">
        <v>11</v>
      </c>
      <c r="I206" s="35">
        <f>D206*36</f>
        <v>36</v>
      </c>
      <c r="J206" s="38">
        <v>20</v>
      </c>
      <c r="K206" s="35">
        <f t="shared" ref="K206:K207" si="47">J206*I206</f>
        <v>720</v>
      </c>
      <c r="L206" s="39">
        <f>SUM(K206:K206,F206)</f>
        <v>1000</v>
      </c>
      <c r="M206" s="206"/>
    </row>
    <row r="207" spans="1:37" s="40" customFormat="1" ht="27" customHeight="1" outlineLevel="1" thickBot="1" x14ac:dyDescent="0.25">
      <c r="A207" s="32">
        <v>9</v>
      </c>
      <c r="B207" s="33" t="s">
        <v>248</v>
      </c>
      <c r="C207" s="34" t="s">
        <v>12</v>
      </c>
      <c r="D207" s="35">
        <v>1</v>
      </c>
      <c r="E207" s="36">
        <v>1200</v>
      </c>
      <c r="F207" s="35">
        <f t="shared" si="46"/>
        <v>1200</v>
      </c>
      <c r="G207" s="37" t="s">
        <v>249</v>
      </c>
      <c r="H207" s="34" t="s">
        <v>12</v>
      </c>
      <c r="I207" s="35">
        <f>D207</f>
        <v>1</v>
      </c>
      <c r="J207" s="38">
        <v>600</v>
      </c>
      <c r="K207" s="35">
        <f t="shared" si="47"/>
        <v>600</v>
      </c>
      <c r="L207" s="39">
        <f>SUM(K207:K207,F207)</f>
        <v>1800</v>
      </c>
      <c r="M207" s="206"/>
    </row>
    <row r="208" spans="1:37" s="4" customFormat="1" ht="15.75" customHeight="1" outlineLevel="1" thickBot="1" x14ac:dyDescent="0.3">
      <c r="A208" s="32">
        <v>10</v>
      </c>
      <c r="B208" s="33" t="s">
        <v>253</v>
      </c>
      <c r="C208" s="34" t="s">
        <v>12</v>
      </c>
      <c r="D208" s="35">
        <v>1</v>
      </c>
      <c r="E208" s="36">
        <v>25</v>
      </c>
      <c r="F208" s="35">
        <f>E208*D208</f>
        <v>25</v>
      </c>
      <c r="G208" s="37" t="s">
        <v>53</v>
      </c>
      <c r="H208" s="34" t="s">
        <v>11</v>
      </c>
      <c r="I208" s="35">
        <f>D208*0.15</f>
        <v>0.15</v>
      </c>
      <c r="J208" s="38">
        <v>42</v>
      </c>
      <c r="K208" s="35">
        <f>J208*I208</f>
        <v>6.3</v>
      </c>
      <c r="L208" s="39">
        <f>SUM(K208,F208)</f>
        <v>31.3</v>
      </c>
      <c r="M208" s="206"/>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1:257" outlineLevel="1" x14ac:dyDescent="0.3">
      <c r="A209" s="275">
        <v>11</v>
      </c>
      <c r="B209" s="322" t="s">
        <v>254</v>
      </c>
      <c r="C209" s="302" t="s">
        <v>12</v>
      </c>
      <c r="D209" s="305">
        <v>1</v>
      </c>
      <c r="E209" s="308">
        <v>240</v>
      </c>
      <c r="F209" s="311">
        <f t="shared" ref="F209" si="48">E209*D209</f>
        <v>240</v>
      </c>
      <c r="G209" s="49" t="s">
        <v>255</v>
      </c>
      <c r="H209" s="50" t="s">
        <v>12</v>
      </c>
      <c r="I209" s="85">
        <f>D209*1.1</f>
        <v>1.1000000000000001</v>
      </c>
      <c r="J209" s="82">
        <v>240</v>
      </c>
      <c r="K209" s="51">
        <f>J209*I209</f>
        <v>264</v>
      </c>
      <c r="L209" s="299">
        <f>SUM(K209:K211,F209)</f>
        <v>609</v>
      </c>
      <c r="M209" s="212"/>
    </row>
    <row r="210" spans="1:257" outlineLevel="1" x14ac:dyDescent="0.25">
      <c r="A210" s="276"/>
      <c r="B210" s="323"/>
      <c r="C210" s="303"/>
      <c r="D210" s="306"/>
      <c r="E210" s="309"/>
      <c r="F210" s="312"/>
      <c r="G210" s="21" t="s">
        <v>256</v>
      </c>
      <c r="H210" s="22" t="s">
        <v>11</v>
      </c>
      <c r="I210" s="74">
        <f>D209*2</f>
        <v>2</v>
      </c>
      <c r="J210" s="8">
        <v>40</v>
      </c>
      <c r="K210" s="74">
        <f t="shared" ref="K210" si="49">J210*I210</f>
        <v>80</v>
      </c>
      <c r="L210" s="300"/>
      <c r="M210" s="212"/>
    </row>
    <row r="211" spans="1:257" ht="12.6" outlineLevel="1" thickBot="1" x14ac:dyDescent="0.35">
      <c r="A211" s="277"/>
      <c r="B211" s="324"/>
      <c r="C211" s="304"/>
      <c r="D211" s="307"/>
      <c r="E211" s="310"/>
      <c r="F211" s="313"/>
      <c r="G211" s="58" t="s">
        <v>51</v>
      </c>
      <c r="H211" s="72" t="s">
        <v>40</v>
      </c>
      <c r="I211" s="75">
        <f>D206*10</f>
        <v>10</v>
      </c>
      <c r="J211" s="59">
        <v>2.5</v>
      </c>
      <c r="K211" s="60">
        <f>J211*I211</f>
        <v>25</v>
      </c>
      <c r="L211" s="301"/>
      <c r="M211" s="212"/>
    </row>
    <row r="212" spans="1:257" s="19" customFormat="1" outlineLevel="1" x14ac:dyDescent="0.25">
      <c r="A212" s="281">
        <v>12</v>
      </c>
      <c r="B212" s="272" t="s">
        <v>258</v>
      </c>
      <c r="C212" s="284" t="s">
        <v>12</v>
      </c>
      <c r="D212" s="257">
        <v>1</v>
      </c>
      <c r="E212" s="260">
        <v>850</v>
      </c>
      <c r="F212" s="257">
        <f>E212*D212</f>
        <v>850</v>
      </c>
      <c r="G212" s="56" t="s">
        <v>259</v>
      </c>
      <c r="H212" s="70" t="s">
        <v>12</v>
      </c>
      <c r="I212" s="73">
        <f>D212*1.2</f>
        <v>1.2</v>
      </c>
      <c r="J212" s="57">
        <v>800</v>
      </c>
      <c r="K212" s="73">
        <f>J212*I212</f>
        <v>960</v>
      </c>
      <c r="L212" s="269">
        <f>SUM(K212:K214,F212)</f>
        <v>1948</v>
      </c>
      <c r="M212" s="206"/>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8"/>
    </row>
    <row r="213" spans="1:257" s="4" customFormat="1" outlineLevel="1" x14ac:dyDescent="0.25">
      <c r="A213" s="283"/>
      <c r="B213" s="273"/>
      <c r="C213" s="285"/>
      <c r="D213" s="258"/>
      <c r="E213" s="261"/>
      <c r="F213" s="258"/>
      <c r="G213" s="5" t="s">
        <v>104</v>
      </c>
      <c r="H213" s="89" t="s">
        <v>11</v>
      </c>
      <c r="I213" s="74">
        <f>D212*7</f>
        <v>7</v>
      </c>
      <c r="J213" s="8">
        <v>16</v>
      </c>
      <c r="K213" s="74">
        <f t="shared" ref="K213:K217" si="50">J213*I213</f>
        <v>112</v>
      </c>
      <c r="L213" s="270"/>
      <c r="M213" s="206"/>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1:257" s="3" customFormat="1" ht="12.6" outlineLevel="1" thickBot="1" x14ac:dyDescent="0.3">
      <c r="A214" s="282"/>
      <c r="B214" s="274"/>
      <c r="C214" s="286"/>
      <c r="D214" s="259"/>
      <c r="E214" s="262"/>
      <c r="F214" s="259"/>
      <c r="G214" s="58" t="s">
        <v>66</v>
      </c>
      <c r="H214" s="97" t="s">
        <v>11</v>
      </c>
      <c r="I214" s="75">
        <f>D212*0.1</f>
        <v>0.1</v>
      </c>
      <c r="J214" s="59">
        <v>260</v>
      </c>
      <c r="K214" s="75">
        <f t="shared" si="50"/>
        <v>26</v>
      </c>
      <c r="L214" s="271"/>
      <c r="M214" s="206"/>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c r="GP214" s="20"/>
      <c r="GQ214" s="20"/>
      <c r="GR214" s="20"/>
      <c r="GS214" s="20"/>
      <c r="GT214" s="20"/>
      <c r="GU214" s="20"/>
      <c r="GV214" s="20"/>
      <c r="GW214" s="20"/>
      <c r="GX214" s="20"/>
      <c r="GY214" s="20"/>
      <c r="GZ214" s="20"/>
      <c r="HA214" s="20"/>
      <c r="HB214" s="20"/>
      <c r="HC214" s="20"/>
      <c r="HD214" s="20"/>
      <c r="HE214" s="20"/>
      <c r="HF214" s="20"/>
      <c r="HG214" s="20"/>
      <c r="HH214" s="20"/>
      <c r="HI214" s="20"/>
      <c r="HJ214" s="20"/>
      <c r="HK214" s="20"/>
      <c r="HL214" s="20"/>
      <c r="HM214" s="20"/>
      <c r="HN214" s="20"/>
      <c r="HO214" s="20"/>
      <c r="HP214" s="20"/>
      <c r="HQ214" s="20"/>
      <c r="HR214" s="20"/>
      <c r="HS214" s="20"/>
      <c r="HT214" s="20"/>
      <c r="HU214" s="20"/>
      <c r="HV214" s="20"/>
      <c r="HW214" s="20"/>
      <c r="HX214" s="20"/>
      <c r="HY214" s="20"/>
      <c r="HZ214" s="20"/>
      <c r="IA214" s="20"/>
      <c r="IB214" s="20"/>
      <c r="IC214" s="20"/>
      <c r="ID214" s="20"/>
      <c r="IE214" s="20"/>
      <c r="IF214" s="20"/>
      <c r="IG214" s="20"/>
      <c r="IH214" s="20"/>
      <c r="II214" s="20"/>
      <c r="IJ214" s="20"/>
      <c r="IK214" s="20"/>
      <c r="IL214" s="20"/>
      <c r="IM214" s="20"/>
      <c r="IN214" s="20"/>
      <c r="IO214" s="20"/>
      <c r="IP214" s="20"/>
      <c r="IQ214" s="20"/>
      <c r="IR214" s="20"/>
      <c r="IS214" s="20"/>
      <c r="IT214" s="20"/>
      <c r="IU214" s="20"/>
      <c r="IV214" s="20"/>
      <c r="IW214" s="20"/>
    </row>
    <row r="215" spans="1:257" s="3" customFormat="1" outlineLevel="1" x14ac:dyDescent="0.25">
      <c r="A215" s="281">
        <v>13</v>
      </c>
      <c r="B215" s="251" t="s">
        <v>260</v>
      </c>
      <c r="C215" s="254" t="s">
        <v>12</v>
      </c>
      <c r="D215" s="257">
        <v>1</v>
      </c>
      <c r="E215" s="260">
        <v>800</v>
      </c>
      <c r="F215" s="257">
        <f>E215*D215</f>
        <v>800</v>
      </c>
      <c r="G215" s="56" t="s">
        <v>261</v>
      </c>
      <c r="H215" s="70" t="s">
        <v>12</v>
      </c>
      <c r="I215" s="73">
        <f>D215*1.2</f>
        <v>1.2</v>
      </c>
      <c r="J215" s="57">
        <v>500</v>
      </c>
      <c r="K215" s="73">
        <f t="shared" si="50"/>
        <v>600</v>
      </c>
      <c r="L215" s="269">
        <f>SUM(K215:K217,F215)</f>
        <v>1538</v>
      </c>
      <c r="M215" s="206"/>
    </row>
    <row r="216" spans="1:257" s="3" customFormat="1" outlineLevel="1" x14ac:dyDescent="0.25">
      <c r="A216" s="283"/>
      <c r="B216" s="252"/>
      <c r="C216" s="255"/>
      <c r="D216" s="258"/>
      <c r="E216" s="261"/>
      <c r="F216" s="258"/>
      <c r="G216" s="5" t="s">
        <v>104</v>
      </c>
      <c r="H216" s="71" t="s">
        <v>11</v>
      </c>
      <c r="I216" s="74">
        <f>D215*7</f>
        <v>7</v>
      </c>
      <c r="J216" s="8">
        <v>16</v>
      </c>
      <c r="K216" s="74">
        <f t="shared" si="50"/>
        <v>112</v>
      </c>
      <c r="L216" s="270"/>
      <c r="M216" s="206"/>
    </row>
    <row r="217" spans="1:257" s="4" customFormat="1" ht="12.6" outlineLevel="1" thickBot="1" x14ac:dyDescent="0.3">
      <c r="A217" s="282"/>
      <c r="B217" s="253"/>
      <c r="C217" s="256"/>
      <c r="D217" s="259"/>
      <c r="E217" s="262"/>
      <c r="F217" s="259"/>
      <c r="G217" s="58" t="s">
        <v>66</v>
      </c>
      <c r="H217" s="72" t="s">
        <v>11</v>
      </c>
      <c r="I217" s="75">
        <f>D215*0.1</f>
        <v>0.1</v>
      </c>
      <c r="J217" s="59">
        <v>260</v>
      </c>
      <c r="K217" s="75">
        <f t="shared" si="50"/>
        <v>26</v>
      </c>
      <c r="L217" s="271"/>
      <c r="M217" s="206"/>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1:257" s="3" customFormat="1" outlineLevel="1" x14ac:dyDescent="0.25">
      <c r="A218" s="281">
        <v>14</v>
      </c>
      <c r="B218" s="251" t="s">
        <v>105</v>
      </c>
      <c r="C218" s="254" t="s">
        <v>12</v>
      </c>
      <c r="D218" s="257">
        <v>1</v>
      </c>
      <c r="E218" s="260">
        <v>200</v>
      </c>
      <c r="F218" s="257">
        <f>E218*D218</f>
        <v>200</v>
      </c>
      <c r="G218" s="56" t="s">
        <v>257</v>
      </c>
      <c r="H218" s="70" t="s">
        <v>12</v>
      </c>
      <c r="I218" s="73">
        <f>D218*1.2</f>
        <v>1.2</v>
      </c>
      <c r="J218" s="57">
        <v>250</v>
      </c>
      <c r="K218" s="73">
        <f>J218*I218</f>
        <v>300</v>
      </c>
      <c r="L218" s="357">
        <f>SUM(K218:K220,F218)</f>
        <v>700</v>
      </c>
      <c r="M218" s="206"/>
    </row>
    <row r="219" spans="1:257" s="3" customFormat="1" outlineLevel="1" x14ac:dyDescent="0.25">
      <c r="A219" s="283"/>
      <c r="B219" s="252"/>
      <c r="C219" s="255"/>
      <c r="D219" s="258"/>
      <c r="E219" s="261"/>
      <c r="F219" s="258"/>
      <c r="G219" s="21" t="s">
        <v>97</v>
      </c>
      <c r="H219" s="22" t="s">
        <v>11</v>
      </c>
      <c r="I219" s="74">
        <f>D218*2</f>
        <v>2</v>
      </c>
      <c r="J219" s="8">
        <v>40</v>
      </c>
      <c r="K219" s="74">
        <f t="shared" ref="K219:K246" si="51">J219*I219</f>
        <v>80</v>
      </c>
      <c r="L219" s="358"/>
      <c r="M219" s="206"/>
    </row>
    <row r="220" spans="1:257" s="4" customFormat="1" ht="12.6" outlineLevel="1" thickBot="1" x14ac:dyDescent="0.3">
      <c r="A220" s="282"/>
      <c r="B220" s="253"/>
      <c r="C220" s="256"/>
      <c r="D220" s="259"/>
      <c r="E220" s="262"/>
      <c r="F220" s="259"/>
      <c r="G220" s="61" t="s">
        <v>98</v>
      </c>
      <c r="H220" s="62" t="s">
        <v>14</v>
      </c>
      <c r="I220" s="75">
        <f>D218*1.2</f>
        <v>1.2</v>
      </c>
      <c r="J220" s="59">
        <v>100</v>
      </c>
      <c r="K220" s="75">
        <f t="shared" si="51"/>
        <v>120</v>
      </c>
      <c r="L220" s="359"/>
      <c r="M220" s="206"/>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1:257" s="3" customFormat="1" outlineLevel="1" x14ac:dyDescent="0.25">
      <c r="A221" s="281">
        <v>15</v>
      </c>
      <c r="B221" s="251" t="s">
        <v>262</v>
      </c>
      <c r="C221" s="254" t="s">
        <v>12</v>
      </c>
      <c r="D221" s="257">
        <v>1</v>
      </c>
      <c r="E221" s="260">
        <v>200</v>
      </c>
      <c r="F221" s="257">
        <f>E221*D221</f>
        <v>200</v>
      </c>
      <c r="G221" s="56" t="s">
        <v>263</v>
      </c>
      <c r="H221" s="70" t="s">
        <v>12</v>
      </c>
      <c r="I221" s="73">
        <f>D221*1.2</f>
        <v>1.2</v>
      </c>
      <c r="J221" s="57">
        <v>300</v>
      </c>
      <c r="K221" s="73">
        <f>J221*I221</f>
        <v>360</v>
      </c>
      <c r="L221" s="357">
        <f>SUM(K221:K223,F221)</f>
        <v>760</v>
      </c>
      <c r="M221" s="206"/>
    </row>
    <row r="222" spans="1:257" s="3" customFormat="1" outlineLevel="1" x14ac:dyDescent="0.25">
      <c r="A222" s="283"/>
      <c r="B222" s="252"/>
      <c r="C222" s="255"/>
      <c r="D222" s="258"/>
      <c r="E222" s="261"/>
      <c r="F222" s="258"/>
      <c r="G222" s="21" t="s">
        <v>266</v>
      </c>
      <c r="H222" s="22" t="s">
        <v>11</v>
      </c>
      <c r="I222" s="74">
        <f>D221*2</f>
        <v>2</v>
      </c>
      <c r="J222" s="8">
        <v>40</v>
      </c>
      <c r="K222" s="74">
        <f t="shared" ref="K222:K223" si="52">J222*I222</f>
        <v>80</v>
      </c>
      <c r="L222" s="358"/>
      <c r="M222" s="206"/>
    </row>
    <row r="223" spans="1:257" s="4" customFormat="1" ht="12.6" outlineLevel="1" thickBot="1" x14ac:dyDescent="0.3">
      <c r="A223" s="282"/>
      <c r="B223" s="253"/>
      <c r="C223" s="256"/>
      <c r="D223" s="259"/>
      <c r="E223" s="262"/>
      <c r="F223" s="259"/>
      <c r="G223" s="61" t="s">
        <v>98</v>
      </c>
      <c r="H223" s="62" t="s">
        <v>14</v>
      </c>
      <c r="I223" s="75">
        <f>D221*1.2</f>
        <v>1.2</v>
      </c>
      <c r="J223" s="59">
        <v>100</v>
      </c>
      <c r="K223" s="75">
        <f t="shared" si="52"/>
        <v>120</v>
      </c>
      <c r="L223" s="359"/>
      <c r="M223" s="206"/>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1:257" s="3" customFormat="1" outlineLevel="1" x14ac:dyDescent="0.25">
      <c r="A224" s="281">
        <v>16</v>
      </c>
      <c r="B224" s="251" t="s">
        <v>264</v>
      </c>
      <c r="C224" s="254" t="s">
        <v>12</v>
      </c>
      <c r="D224" s="257">
        <v>1</v>
      </c>
      <c r="E224" s="260">
        <v>250</v>
      </c>
      <c r="F224" s="257">
        <f>E224*D224</f>
        <v>250</v>
      </c>
      <c r="G224" s="56" t="s">
        <v>265</v>
      </c>
      <c r="H224" s="70" t="s">
        <v>12</v>
      </c>
      <c r="I224" s="73">
        <f>D224*1.2</f>
        <v>1.2</v>
      </c>
      <c r="J224" s="57">
        <v>600</v>
      </c>
      <c r="K224" s="73">
        <f>J224*I224</f>
        <v>720</v>
      </c>
      <c r="L224" s="357">
        <f>SUM(K224:K226,F224)</f>
        <v>1170</v>
      </c>
      <c r="M224" s="206"/>
    </row>
    <row r="225" spans="1:37" s="3" customFormat="1" outlineLevel="1" x14ac:dyDescent="0.25">
      <c r="A225" s="283"/>
      <c r="B225" s="252"/>
      <c r="C225" s="255"/>
      <c r="D225" s="258"/>
      <c r="E225" s="261"/>
      <c r="F225" s="258"/>
      <c r="G225" s="21" t="s">
        <v>266</v>
      </c>
      <c r="H225" s="22" t="s">
        <v>11</v>
      </c>
      <c r="I225" s="74">
        <f>D224*2</f>
        <v>2</v>
      </c>
      <c r="J225" s="8">
        <v>40</v>
      </c>
      <c r="K225" s="74">
        <f t="shared" ref="K225:K226" si="53">J225*I225</f>
        <v>80</v>
      </c>
      <c r="L225" s="358"/>
      <c r="M225" s="206"/>
    </row>
    <row r="226" spans="1:37" s="4" customFormat="1" ht="12.6" outlineLevel="1" thickBot="1" x14ac:dyDescent="0.3">
      <c r="A226" s="282"/>
      <c r="B226" s="253"/>
      <c r="C226" s="256"/>
      <c r="D226" s="259"/>
      <c r="E226" s="262"/>
      <c r="F226" s="259"/>
      <c r="G226" s="61" t="s">
        <v>267</v>
      </c>
      <c r="H226" s="62" t="s">
        <v>14</v>
      </c>
      <c r="I226" s="75">
        <f>D224*1.2</f>
        <v>1.2</v>
      </c>
      <c r="J226" s="59">
        <v>100</v>
      </c>
      <c r="K226" s="75">
        <f t="shared" si="53"/>
        <v>120</v>
      </c>
      <c r="L226" s="359"/>
      <c r="M226" s="206"/>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1:37" s="3" customFormat="1" outlineLevel="1" x14ac:dyDescent="0.25">
      <c r="A227" s="281">
        <v>17</v>
      </c>
      <c r="B227" s="251" t="s">
        <v>270</v>
      </c>
      <c r="C227" s="254" t="s">
        <v>12</v>
      </c>
      <c r="D227" s="257">
        <v>1</v>
      </c>
      <c r="E227" s="260">
        <v>320</v>
      </c>
      <c r="F227" s="257">
        <f>E227*D227</f>
        <v>320</v>
      </c>
      <c r="G227" s="56" t="s">
        <v>271</v>
      </c>
      <c r="H227" s="70" t="s">
        <v>12</v>
      </c>
      <c r="I227" s="73">
        <f>D227*1.2</f>
        <v>1.2</v>
      </c>
      <c r="J227" s="57">
        <v>600</v>
      </c>
      <c r="K227" s="73">
        <f>J227*I227</f>
        <v>720</v>
      </c>
      <c r="L227" s="357">
        <f>SUM(K227:K228,F227)</f>
        <v>1048.8</v>
      </c>
      <c r="M227" s="206"/>
    </row>
    <row r="228" spans="1:37" s="3" customFormat="1" ht="12.6" outlineLevel="1" thickBot="1" x14ac:dyDescent="0.3">
      <c r="A228" s="283"/>
      <c r="B228" s="252"/>
      <c r="C228" s="255"/>
      <c r="D228" s="258"/>
      <c r="E228" s="261"/>
      <c r="F228" s="258"/>
      <c r="G228" s="21" t="s">
        <v>272</v>
      </c>
      <c r="H228" s="22" t="s">
        <v>12</v>
      </c>
      <c r="I228" s="74">
        <f>D227*1.1</f>
        <v>1.1000000000000001</v>
      </c>
      <c r="J228" s="8">
        <v>8</v>
      </c>
      <c r="K228" s="74">
        <f t="shared" ref="K228" si="54">J228*I228</f>
        <v>8.8000000000000007</v>
      </c>
      <c r="L228" s="358"/>
      <c r="M228" s="206"/>
    </row>
    <row r="229" spans="1:37" s="3" customFormat="1" outlineLevel="1" x14ac:dyDescent="0.25">
      <c r="A229" s="281">
        <v>18</v>
      </c>
      <c r="B229" s="251" t="s">
        <v>277</v>
      </c>
      <c r="C229" s="254" t="s">
        <v>12</v>
      </c>
      <c r="D229" s="257">
        <v>1</v>
      </c>
      <c r="E229" s="260">
        <v>320</v>
      </c>
      <c r="F229" s="257">
        <f>E229*D229</f>
        <v>320</v>
      </c>
      <c r="G229" s="56" t="s">
        <v>278</v>
      </c>
      <c r="H229" s="70" t="s">
        <v>12</v>
      </c>
      <c r="I229" s="73">
        <f>D229*1.1</f>
        <v>1.1000000000000001</v>
      </c>
      <c r="J229" s="57">
        <v>2500</v>
      </c>
      <c r="K229" s="73">
        <f>J229*I229</f>
        <v>2750</v>
      </c>
      <c r="L229" s="357">
        <f>SUM(K229:K230,F229)</f>
        <v>3150</v>
      </c>
      <c r="M229" s="206"/>
    </row>
    <row r="230" spans="1:37" s="3" customFormat="1" ht="12.6" outlineLevel="1" thickBot="1" x14ac:dyDescent="0.3">
      <c r="A230" s="283"/>
      <c r="B230" s="252"/>
      <c r="C230" s="255"/>
      <c r="D230" s="258"/>
      <c r="E230" s="261"/>
      <c r="F230" s="258"/>
      <c r="G230" s="21" t="s">
        <v>275</v>
      </c>
      <c r="H230" s="22" t="s">
        <v>11</v>
      </c>
      <c r="I230" s="74">
        <f>D229*2</f>
        <v>2</v>
      </c>
      <c r="J230" s="8">
        <v>40</v>
      </c>
      <c r="K230" s="74">
        <f t="shared" ref="K230" si="55">J230*I230</f>
        <v>80</v>
      </c>
      <c r="L230" s="358"/>
      <c r="M230" s="206"/>
    </row>
    <row r="231" spans="1:37" s="3" customFormat="1" outlineLevel="1" x14ac:dyDescent="0.25">
      <c r="A231" s="281">
        <v>19</v>
      </c>
      <c r="B231" s="251" t="s">
        <v>279</v>
      </c>
      <c r="C231" s="254" t="s">
        <v>12</v>
      </c>
      <c r="D231" s="257">
        <v>1</v>
      </c>
      <c r="E231" s="260">
        <v>1400</v>
      </c>
      <c r="F231" s="257">
        <f>E231*D231</f>
        <v>1400</v>
      </c>
      <c r="G231" s="56" t="s">
        <v>280</v>
      </c>
      <c r="H231" s="70" t="s">
        <v>12</v>
      </c>
      <c r="I231" s="73">
        <f>D231*1.1</f>
        <v>1.1000000000000001</v>
      </c>
      <c r="J231" s="57">
        <v>5000</v>
      </c>
      <c r="K231" s="73">
        <f>J231*I231</f>
        <v>5500</v>
      </c>
      <c r="L231" s="357">
        <f>SUM(K231:K233,F231)</f>
        <v>7025</v>
      </c>
      <c r="M231" s="206"/>
    </row>
    <row r="232" spans="1:37" s="4" customFormat="1" ht="12.6" outlineLevel="1" thickBot="1" x14ac:dyDescent="0.3">
      <c r="A232" s="388"/>
      <c r="B232" s="252"/>
      <c r="C232" s="389"/>
      <c r="D232" s="390"/>
      <c r="E232" s="391"/>
      <c r="F232" s="390"/>
      <c r="G232" s="61" t="s">
        <v>276</v>
      </c>
      <c r="H232" s="62" t="s">
        <v>11</v>
      </c>
      <c r="I232" s="75">
        <f>D231*0.3</f>
        <v>0.3</v>
      </c>
      <c r="J232" s="59">
        <v>150</v>
      </c>
      <c r="K232" s="75">
        <f t="shared" ref="K232" si="56">J232*I232</f>
        <v>45</v>
      </c>
      <c r="L232" s="392"/>
      <c r="M232" s="206"/>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1:37" s="3" customFormat="1" ht="12.6" outlineLevel="1" thickBot="1" x14ac:dyDescent="0.3">
      <c r="A233" s="283"/>
      <c r="B233" s="252"/>
      <c r="C233" s="255"/>
      <c r="D233" s="258"/>
      <c r="E233" s="261"/>
      <c r="F233" s="258"/>
      <c r="G233" s="21" t="s">
        <v>275</v>
      </c>
      <c r="H233" s="22" t="s">
        <v>11</v>
      </c>
      <c r="I233" s="74">
        <f>D231*2</f>
        <v>2</v>
      </c>
      <c r="J233" s="8">
        <v>40</v>
      </c>
      <c r="K233" s="74">
        <f t="shared" ref="K233" si="57">J233*I233</f>
        <v>80</v>
      </c>
      <c r="L233" s="358"/>
      <c r="M233" s="206"/>
    </row>
    <row r="234" spans="1:37" s="3" customFormat="1" outlineLevel="1" x14ac:dyDescent="0.25">
      <c r="A234" s="281">
        <v>20</v>
      </c>
      <c r="B234" s="251" t="s">
        <v>273</v>
      </c>
      <c r="C234" s="254" t="s">
        <v>12</v>
      </c>
      <c r="D234" s="257">
        <v>1</v>
      </c>
      <c r="E234" s="260">
        <v>1800</v>
      </c>
      <c r="F234" s="257">
        <f>E234*D234</f>
        <v>1800</v>
      </c>
      <c r="G234" s="56" t="s">
        <v>274</v>
      </c>
      <c r="H234" s="70" t="s">
        <v>12</v>
      </c>
      <c r="I234" s="73">
        <f>D234*1.1</f>
        <v>1.1000000000000001</v>
      </c>
      <c r="J234" s="57">
        <v>1200</v>
      </c>
      <c r="K234" s="73">
        <f>J234*I234</f>
        <v>1320</v>
      </c>
      <c r="L234" s="357">
        <f>SUM(K234:K236,F234)</f>
        <v>3245</v>
      </c>
      <c r="M234" s="206"/>
    </row>
    <row r="235" spans="1:37" s="3" customFormat="1" outlineLevel="1" x14ac:dyDescent="0.25">
      <c r="A235" s="283"/>
      <c r="B235" s="252"/>
      <c r="C235" s="255"/>
      <c r="D235" s="258"/>
      <c r="E235" s="261"/>
      <c r="F235" s="258"/>
      <c r="G235" s="21" t="s">
        <v>275</v>
      </c>
      <c r="H235" s="22" t="s">
        <v>11</v>
      </c>
      <c r="I235" s="74">
        <f>D234*2</f>
        <v>2</v>
      </c>
      <c r="J235" s="8">
        <v>40</v>
      </c>
      <c r="K235" s="74">
        <f t="shared" ref="K235:K236" si="58">J235*I235</f>
        <v>80</v>
      </c>
      <c r="L235" s="358"/>
      <c r="M235" s="206"/>
    </row>
    <row r="236" spans="1:37" s="4" customFormat="1" ht="12.6" outlineLevel="1" thickBot="1" x14ac:dyDescent="0.3">
      <c r="A236" s="282"/>
      <c r="B236" s="253"/>
      <c r="C236" s="256"/>
      <c r="D236" s="259"/>
      <c r="E236" s="262"/>
      <c r="F236" s="259"/>
      <c r="G236" s="61" t="s">
        <v>276</v>
      </c>
      <c r="H236" s="62" t="s">
        <v>11</v>
      </c>
      <c r="I236" s="75">
        <f>D234*0.3</f>
        <v>0.3</v>
      </c>
      <c r="J236" s="59">
        <v>150</v>
      </c>
      <c r="K236" s="75">
        <f t="shared" si="58"/>
        <v>45</v>
      </c>
      <c r="L236" s="359"/>
      <c r="M236" s="206"/>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1:37" s="4" customFormat="1" ht="15.75" customHeight="1" outlineLevel="1" thickBot="1" x14ac:dyDescent="0.3">
      <c r="A237" s="69">
        <v>21</v>
      </c>
      <c r="B237" s="94" t="s">
        <v>281</v>
      </c>
      <c r="C237" s="96" t="s">
        <v>12</v>
      </c>
      <c r="D237" s="73">
        <v>1</v>
      </c>
      <c r="E237" s="76">
        <v>240</v>
      </c>
      <c r="F237" s="73">
        <f>E237*D237</f>
        <v>240</v>
      </c>
      <c r="G237" s="56"/>
      <c r="H237" s="70"/>
      <c r="I237" s="73"/>
      <c r="J237" s="57"/>
      <c r="K237" s="73"/>
      <c r="L237" s="78">
        <f>SUM(K237:K237,F237)</f>
        <v>240</v>
      </c>
      <c r="M237" s="206"/>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1:37" s="4" customFormat="1" ht="15.75" customHeight="1" outlineLevel="1" thickBot="1" x14ac:dyDescent="0.3">
      <c r="A238" s="69">
        <v>22</v>
      </c>
      <c r="B238" s="94" t="s">
        <v>285</v>
      </c>
      <c r="C238" s="96" t="s">
        <v>12</v>
      </c>
      <c r="D238" s="73">
        <v>1</v>
      </c>
      <c r="E238" s="76">
        <v>220</v>
      </c>
      <c r="F238" s="73">
        <f>E238*D238</f>
        <v>220</v>
      </c>
      <c r="G238" s="56" t="s">
        <v>282</v>
      </c>
      <c r="H238" s="70" t="s">
        <v>40</v>
      </c>
      <c r="I238" s="73">
        <f>D238*0.1</f>
        <v>0.1</v>
      </c>
      <c r="J238" s="57">
        <v>100</v>
      </c>
      <c r="K238" s="73">
        <f t="shared" ref="K238" si="59">J238*I238</f>
        <v>10</v>
      </c>
      <c r="L238" s="78">
        <f>SUM(K238:K238,F238)</f>
        <v>230</v>
      </c>
      <c r="M238" s="206"/>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1:37" s="4" customFormat="1" ht="12.6" outlineLevel="1" thickBot="1" x14ac:dyDescent="0.3">
      <c r="A239" s="69">
        <v>23</v>
      </c>
      <c r="B239" s="94" t="s">
        <v>283</v>
      </c>
      <c r="C239" s="96" t="s">
        <v>12</v>
      </c>
      <c r="D239" s="73">
        <v>1</v>
      </c>
      <c r="E239" s="76">
        <v>180</v>
      </c>
      <c r="F239" s="73">
        <f>E239*D239</f>
        <v>180</v>
      </c>
      <c r="G239" s="56" t="s">
        <v>284</v>
      </c>
      <c r="H239" s="70" t="s">
        <v>11</v>
      </c>
      <c r="I239" s="73">
        <f>D239*0.4</f>
        <v>0.4</v>
      </c>
      <c r="J239" s="57">
        <v>250</v>
      </c>
      <c r="K239" s="73">
        <f t="shared" ref="K239" si="60">J239*I239</f>
        <v>100</v>
      </c>
      <c r="L239" s="78">
        <f>SUM(K239:K239,F239)</f>
        <v>280</v>
      </c>
      <c r="M239" s="206"/>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1:37" s="4" customFormat="1" outlineLevel="1" x14ac:dyDescent="0.25">
      <c r="A240" s="281">
        <v>24</v>
      </c>
      <c r="B240" s="272" t="s">
        <v>268</v>
      </c>
      <c r="C240" s="284" t="s">
        <v>40</v>
      </c>
      <c r="D240" s="257">
        <v>1</v>
      </c>
      <c r="E240" s="260">
        <v>400</v>
      </c>
      <c r="F240" s="257">
        <f>E240*D240</f>
        <v>400</v>
      </c>
      <c r="G240" s="56" t="s">
        <v>106</v>
      </c>
      <c r="H240" s="70" t="s">
        <v>40</v>
      </c>
      <c r="I240" s="73">
        <f>D240</f>
        <v>1</v>
      </c>
      <c r="J240" s="57">
        <v>400</v>
      </c>
      <c r="K240" s="73">
        <f t="shared" si="51"/>
        <v>400</v>
      </c>
      <c r="L240" s="357">
        <f>SUM(K240:K241,F240)</f>
        <v>815</v>
      </c>
      <c r="M240" s="206"/>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1:37" s="4" customFormat="1" ht="12.6" outlineLevel="1" thickBot="1" x14ac:dyDescent="0.3">
      <c r="A241" s="282"/>
      <c r="B241" s="274"/>
      <c r="C241" s="286"/>
      <c r="D241" s="259"/>
      <c r="E241" s="262"/>
      <c r="F241" s="259"/>
      <c r="G241" s="58" t="s">
        <v>99</v>
      </c>
      <c r="H241" s="72" t="s">
        <v>40</v>
      </c>
      <c r="I241" s="75">
        <f>D240*5</f>
        <v>5</v>
      </c>
      <c r="J241" s="59">
        <v>3</v>
      </c>
      <c r="K241" s="75">
        <f t="shared" si="51"/>
        <v>15</v>
      </c>
      <c r="L241" s="359"/>
      <c r="M241" s="206"/>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1:37" s="4" customFormat="1" outlineLevel="1" x14ac:dyDescent="0.25">
      <c r="A242" s="281">
        <v>25</v>
      </c>
      <c r="B242" s="272" t="s">
        <v>269</v>
      </c>
      <c r="C242" s="254" t="s">
        <v>14</v>
      </c>
      <c r="D242" s="257">
        <v>1</v>
      </c>
      <c r="E242" s="260">
        <v>600</v>
      </c>
      <c r="F242" s="257">
        <f>E242*D242</f>
        <v>600</v>
      </c>
      <c r="G242" s="56" t="s">
        <v>107</v>
      </c>
      <c r="H242" s="70" t="s">
        <v>12</v>
      </c>
      <c r="I242" s="73">
        <v>0.15</v>
      </c>
      <c r="J242" s="57">
        <v>1500</v>
      </c>
      <c r="K242" s="73">
        <f t="shared" si="51"/>
        <v>225</v>
      </c>
      <c r="L242" s="357">
        <f>SUM(K242:K244,F242)</f>
        <v>849.4</v>
      </c>
      <c r="M242" s="206"/>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1:37" s="4" customFormat="1" outlineLevel="1" x14ac:dyDescent="0.25">
      <c r="A243" s="283"/>
      <c r="B243" s="273"/>
      <c r="C243" s="255"/>
      <c r="D243" s="258"/>
      <c r="E243" s="261"/>
      <c r="F243" s="258"/>
      <c r="G243" s="5" t="s">
        <v>108</v>
      </c>
      <c r="H243" s="71" t="s">
        <v>11</v>
      </c>
      <c r="I243" s="74">
        <f>D242*1.2</f>
        <v>1.2</v>
      </c>
      <c r="J243" s="8">
        <v>16</v>
      </c>
      <c r="K243" s="74">
        <f t="shared" si="51"/>
        <v>19.2</v>
      </c>
      <c r="L243" s="358"/>
      <c r="M243" s="206"/>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1:37" s="4" customFormat="1" ht="12.6" outlineLevel="1" thickBot="1" x14ac:dyDescent="0.3">
      <c r="A244" s="282"/>
      <c r="B244" s="274"/>
      <c r="C244" s="256"/>
      <c r="D244" s="259"/>
      <c r="E244" s="262"/>
      <c r="F244" s="259"/>
      <c r="G244" s="58" t="s">
        <v>66</v>
      </c>
      <c r="H244" s="72" t="s">
        <v>11</v>
      </c>
      <c r="I244" s="75">
        <f>D242*0.02</f>
        <v>0.02</v>
      </c>
      <c r="J244" s="59">
        <v>260</v>
      </c>
      <c r="K244" s="75">
        <f t="shared" si="51"/>
        <v>5.2</v>
      </c>
      <c r="L244" s="359"/>
      <c r="M244" s="206"/>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1:37" s="4" customFormat="1" outlineLevel="1" x14ac:dyDescent="0.25">
      <c r="A245" s="281">
        <v>26</v>
      </c>
      <c r="B245" s="272" t="s">
        <v>101</v>
      </c>
      <c r="C245" s="254" t="s">
        <v>14</v>
      </c>
      <c r="D245" s="257">
        <v>1</v>
      </c>
      <c r="E245" s="260">
        <v>80</v>
      </c>
      <c r="F245" s="257">
        <f>E245*D245</f>
        <v>80</v>
      </c>
      <c r="G245" s="56" t="s">
        <v>102</v>
      </c>
      <c r="H245" s="70" t="s">
        <v>14</v>
      </c>
      <c r="I245" s="73">
        <f>D245*1.05</f>
        <v>1.05</v>
      </c>
      <c r="J245" s="57">
        <v>80</v>
      </c>
      <c r="K245" s="73">
        <f t="shared" si="51"/>
        <v>84</v>
      </c>
      <c r="L245" s="357">
        <f>SUM(K245:K246,F245)</f>
        <v>168</v>
      </c>
      <c r="M245" s="206"/>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1:37" s="4" customFormat="1" ht="12.6" outlineLevel="1" thickBot="1" x14ac:dyDescent="0.3">
      <c r="A246" s="282"/>
      <c r="B246" s="274"/>
      <c r="C246" s="256"/>
      <c r="D246" s="259"/>
      <c r="E246" s="262"/>
      <c r="F246" s="259"/>
      <c r="G246" s="58" t="s">
        <v>100</v>
      </c>
      <c r="H246" s="72" t="s">
        <v>40</v>
      </c>
      <c r="I246" s="75">
        <f>D245*2</f>
        <v>2</v>
      </c>
      <c r="J246" s="59">
        <v>2</v>
      </c>
      <c r="K246" s="75">
        <f t="shared" si="51"/>
        <v>4</v>
      </c>
      <c r="L246" s="359"/>
      <c r="M246" s="206"/>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1:37" s="4" customFormat="1" ht="12.6" thickBot="1" x14ac:dyDescent="0.3">
      <c r="A247" s="224" t="s">
        <v>445</v>
      </c>
      <c r="B247" s="225"/>
      <c r="C247" s="225"/>
      <c r="D247" s="225"/>
      <c r="E247" s="225"/>
      <c r="F247" s="150">
        <f>SUM(F190:F246)</f>
        <v>11140</v>
      </c>
      <c r="G247" s="232" t="s">
        <v>444</v>
      </c>
      <c r="H247" s="233"/>
      <c r="I247" s="233"/>
      <c r="J247" s="234"/>
      <c r="K247" s="150">
        <f>SUM(K190:K246)</f>
        <v>18393.240000000002</v>
      </c>
      <c r="L247" s="155"/>
      <c r="M247" s="206"/>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1:37" s="4" customFormat="1" ht="12.6" thickBot="1" x14ac:dyDescent="0.3">
      <c r="A248" s="145"/>
      <c r="B248" s="139"/>
      <c r="C248" s="129"/>
      <c r="D248" s="130"/>
      <c r="E248" s="140"/>
      <c r="F248" s="25"/>
      <c r="G248" s="240" t="s">
        <v>446</v>
      </c>
      <c r="H248" s="240"/>
      <c r="I248" s="240"/>
      <c r="J248" s="240"/>
      <c r="K248" s="241"/>
      <c r="L248" s="153">
        <f>SUM(L190:L247)</f>
        <v>29533.24</v>
      </c>
      <c r="M248" s="206"/>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1:37" s="4" customFormat="1" x14ac:dyDescent="0.25">
      <c r="A249" s="145"/>
      <c r="B249" s="139"/>
      <c r="C249" s="129"/>
      <c r="D249" s="130"/>
      <c r="E249" s="140"/>
      <c r="F249" s="130"/>
      <c r="G249" s="128"/>
      <c r="H249" s="129"/>
      <c r="I249" s="130"/>
      <c r="J249" s="131"/>
      <c r="K249" s="130"/>
      <c r="L249" s="146"/>
      <c r="M249" s="206"/>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1:37" ht="15" customHeight="1" thickBot="1" x14ac:dyDescent="0.35">
      <c r="A250" s="246" t="s">
        <v>46</v>
      </c>
      <c r="B250" s="247"/>
      <c r="C250" s="247"/>
      <c r="D250" s="247"/>
      <c r="E250" s="247"/>
      <c r="F250" s="247"/>
      <c r="G250" s="247"/>
      <c r="H250" s="247"/>
      <c r="I250" s="247"/>
      <c r="J250" s="247"/>
      <c r="K250" s="247"/>
      <c r="L250" s="248"/>
      <c r="M250" s="211"/>
    </row>
    <row r="251" spans="1:37" s="4" customFormat="1" outlineLevel="1" x14ac:dyDescent="0.25">
      <c r="A251" s="281">
        <v>1</v>
      </c>
      <c r="B251" s="251" t="s">
        <v>82</v>
      </c>
      <c r="C251" s="254" t="s">
        <v>12</v>
      </c>
      <c r="D251" s="257">
        <v>1</v>
      </c>
      <c r="E251" s="260">
        <v>550</v>
      </c>
      <c r="F251" s="257">
        <f>E251*D251</f>
        <v>550</v>
      </c>
      <c r="G251" s="56" t="s">
        <v>83</v>
      </c>
      <c r="H251" s="70" t="s">
        <v>14</v>
      </c>
      <c r="I251" s="73">
        <f>D251*2.6</f>
        <v>2.6</v>
      </c>
      <c r="J251" s="57">
        <v>80</v>
      </c>
      <c r="K251" s="68">
        <f t="shared" ref="K251:K253" si="61">J251*I251</f>
        <v>208</v>
      </c>
      <c r="L251" s="269">
        <f>SUM(K251:K253,F251)</f>
        <v>1265.5999999999999</v>
      </c>
      <c r="M251" s="206"/>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1:37" s="4" customFormat="1" outlineLevel="1" x14ac:dyDescent="0.25">
      <c r="A252" s="283"/>
      <c r="B252" s="252"/>
      <c r="C252" s="255"/>
      <c r="D252" s="258"/>
      <c r="E252" s="261"/>
      <c r="F252" s="258"/>
      <c r="G252" s="5" t="s">
        <v>84</v>
      </c>
      <c r="H252" s="71" t="s">
        <v>11</v>
      </c>
      <c r="I252" s="74">
        <f>D251/50</f>
        <v>0.02</v>
      </c>
      <c r="J252" s="8">
        <v>380</v>
      </c>
      <c r="K252" s="6">
        <f t="shared" si="61"/>
        <v>7.6000000000000005</v>
      </c>
      <c r="L252" s="270"/>
      <c r="M252" s="206"/>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1:37" s="4" customFormat="1" ht="24.6" outlineLevel="1" thickBot="1" x14ac:dyDescent="0.3">
      <c r="A253" s="282"/>
      <c r="B253" s="253"/>
      <c r="C253" s="256"/>
      <c r="D253" s="259"/>
      <c r="E253" s="262"/>
      <c r="F253" s="259"/>
      <c r="G253" s="58" t="s">
        <v>174</v>
      </c>
      <c r="H253" s="72" t="s">
        <v>14</v>
      </c>
      <c r="I253" s="75">
        <f>D251*5</f>
        <v>5</v>
      </c>
      <c r="J253" s="59">
        <v>100</v>
      </c>
      <c r="K253" s="60">
        <f t="shared" si="61"/>
        <v>500</v>
      </c>
      <c r="L253" s="271"/>
      <c r="M253" s="206"/>
    </row>
    <row r="254" spans="1:37" ht="15" customHeight="1" outlineLevel="1" x14ac:dyDescent="0.3">
      <c r="A254" s="365">
        <v>2</v>
      </c>
      <c r="B254" s="322" t="s">
        <v>39</v>
      </c>
      <c r="C254" s="302" t="s">
        <v>12</v>
      </c>
      <c r="D254" s="305">
        <v>1</v>
      </c>
      <c r="E254" s="308">
        <v>400</v>
      </c>
      <c r="F254" s="363">
        <f>E254*D254</f>
        <v>400</v>
      </c>
      <c r="G254" s="49" t="s">
        <v>25</v>
      </c>
      <c r="H254" s="50" t="s">
        <v>12</v>
      </c>
      <c r="I254" s="85">
        <f>D254*1.1</f>
        <v>1.1000000000000001</v>
      </c>
      <c r="J254" s="82">
        <v>66</v>
      </c>
      <c r="K254" s="51">
        <f t="shared" ref="K254:K266" si="62">J254*I254</f>
        <v>72.600000000000009</v>
      </c>
      <c r="L254" s="299">
        <f>SUM(K254:K266,F254)</f>
        <v>627.79999999999995</v>
      </c>
      <c r="M254" s="212"/>
    </row>
    <row r="255" spans="1:37" outlineLevel="1" x14ac:dyDescent="0.3">
      <c r="A255" s="366"/>
      <c r="B255" s="323"/>
      <c r="C255" s="348"/>
      <c r="D255" s="351"/>
      <c r="E255" s="354"/>
      <c r="F255" s="364"/>
      <c r="G255" s="99" t="s">
        <v>26</v>
      </c>
      <c r="H255" s="90" t="s">
        <v>14</v>
      </c>
      <c r="I255" s="86">
        <f>D254*3</f>
        <v>3</v>
      </c>
      <c r="J255" s="83">
        <v>24</v>
      </c>
      <c r="K255" s="93">
        <f t="shared" si="62"/>
        <v>72</v>
      </c>
      <c r="L255" s="300"/>
      <c r="M255" s="212"/>
    </row>
    <row r="256" spans="1:37" outlineLevel="1" x14ac:dyDescent="0.3">
      <c r="A256" s="366"/>
      <c r="B256" s="323"/>
      <c r="C256" s="349"/>
      <c r="D256" s="352"/>
      <c r="E256" s="355"/>
      <c r="F256" s="312"/>
      <c r="G256" s="99" t="s">
        <v>27</v>
      </c>
      <c r="H256" s="90" t="s">
        <v>14</v>
      </c>
      <c r="I256" s="86">
        <f>D254*1.7</f>
        <v>1.7</v>
      </c>
      <c r="J256" s="83">
        <v>11</v>
      </c>
      <c r="K256" s="93">
        <f t="shared" si="62"/>
        <v>18.7</v>
      </c>
      <c r="L256" s="300"/>
      <c r="M256" s="212"/>
    </row>
    <row r="257" spans="1:13" outlineLevel="1" x14ac:dyDescent="0.3">
      <c r="A257" s="366"/>
      <c r="B257" s="323"/>
      <c r="C257" s="349"/>
      <c r="D257" s="352"/>
      <c r="E257" s="355"/>
      <c r="F257" s="312"/>
      <c r="G257" s="99" t="s">
        <v>28</v>
      </c>
      <c r="H257" s="90" t="s">
        <v>40</v>
      </c>
      <c r="I257" s="86">
        <f>D254*0.2</f>
        <v>0.2</v>
      </c>
      <c r="J257" s="83">
        <v>5</v>
      </c>
      <c r="K257" s="93">
        <f t="shared" si="62"/>
        <v>1</v>
      </c>
      <c r="L257" s="300"/>
      <c r="M257" s="212"/>
    </row>
    <row r="258" spans="1:13" outlineLevel="1" x14ac:dyDescent="0.3">
      <c r="A258" s="366"/>
      <c r="B258" s="323"/>
      <c r="C258" s="349"/>
      <c r="D258" s="352"/>
      <c r="E258" s="355"/>
      <c r="F258" s="312"/>
      <c r="G258" s="99" t="s">
        <v>29</v>
      </c>
      <c r="H258" s="90" t="s">
        <v>40</v>
      </c>
      <c r="I258" s="86">
        <f>D254*1.7</f>
        <v>1.7</v>
      </c>
      <c r="J258" s="83">
        <v>12</v>
      </c>
      <c r="K258" s="93">
        <f t="shared" si="62"/>
        <v>20.399999999999999</v>
      </c>
      <c r="L258" s="300"/>
      <c r="M258" s="212"/>
    </row>
    <row r="259" spans="1:13" outlineLevel="1" x14ac:dyDescent="0.3">
      <c r="A259" s="366"/>
      <c r="B259" s="323"/>
      <c r="C259" s="349"/>
      <c r="D259" s="352"/>
      <c r="E259" s="355"/>
      <c r="F259" s="312"/>
      <c r="G259" s="99" t="s">
        <v>32</v>
      </c>
      <c r="H259" s="90" t="s">
        <v>40</v>
      </c>
      <c r="I259" s="86">
        <f>D254*0.7</f>
        <v>0.7</v>
      </c>
      <c r="J259" s="83">
        <v>7</v>
      </c>
      <c r="K259" s="93">
        <f t="shared" si="62"/>
        <v>4.8999999999999995</v>
      </c>
      <c r="L259" s="300"/>
      <c r="M259" s="212"/>
    </row>
    <row r="260" spans="1:13" outlineLevel="1" x14ac:dyDescent="0.3">
      <c r="A260" s="366"/>
      <c r="B260" s="323"/>
      <c r="C260" s="349"/>
      <c r="D260" s="352"/>
      <c r="E260" s="355"/>
      <c r="F260" s="312"/>
      <c r="G260" s="99" t="s">
        <v>33</v>
      </c>
      <c r="H260" s="90" t="s">
        <v>40</v>
      </c>
      <c r="I260" s="86">
        <f>D254*2</f>
        <v>2</v>
      </c>
      <c r="J260" s="83">
        <v>0.3</v>
      </c>
      <c r="K260" s="93">
        <f t="shared" si="62"/>
        <v>0.6</v>
      </c>
      <c r="L260" s="300"/>
      <c r="M260" s="212"/>
    </row>
    <row r="261" spans="1:13" outlineLevel="1" x14ac:dyDescent="0.3">
      <c r="A261" s="366"/>
      <c r="B261" s="323"/>
      <c r="C261" s="349"/>
      <c r="D261" s="352"/>
      <c r="E261" s="355"/>
      <c r="F261" s="312"/>
      <c r="G261" s="99" t="s">
        <v>34</v>
      </c>
      <c r="H261" s="90" t="s">
        <v>40</v>
      </c>
      <c r="I261" s="86">
        <f>D254*28</f>
        <v>28</v>
      </c>
      <c r="J261" s="83">
        <v>0.2</v>
      </c>
      <c r="K261" s="93">
        <f t="shared" si="62"/>
        <v>5.6000000000000005</v>
      </c>
      <c r="L261" s="300"/>
      <c r="M261" s="212"/>
    </row>
    <row r="262" spans="1:13" outlineLevel="1" x14ac:dyDescent="0.3">
      <c r="A262" s="366"/>
      <c r="B262" s="323"/>
      <c r="C262" s="349"/>
      <c r="D262" s="352"/>
      <c r="E262" s="355"/>
      <c r="F262" s="312"/>
      <c r="G262" s="99" t="s">
        <v>35</v>
      </c>
      <c r="H262" s="90" t="s">
        <v>40</v>
      </c>
      <c r="I262" s="86">
        <f>D254*1</f>
        <v>1</v>
      </c>
      <c r="J262" s="83">
        <v>3</v>
      </c>
      <c r="K262" s="93">
        <f t="shared" si="62"/>
        <v>3</v>
      </c>
      <c r="L262" s="300"/>
      <c r="M262" s="212"/>
    </row>
    <row r="263" spans="1:13" outlineLevel="1" x14ac:dyDescent="0.3">
      <c r="A263" s="366"/>
      <c r="B263" s="323"/>
      <c r="C263" s="349"/>
      <c r="D263" s="352"/>
      <c r="E263" s="355"/>
      <c r="F263" s="312"/>
      <c r="G263" s="99" t="s">
        <v>41</v>
      </c>
      <c r="H263" s="90" t="s">
        <v>40</v>
      </c>
      <c r="I263" s="86">
        <f>2*I256</f>
        <v>3.4</v>
      </c>
      <c r="J263" s="83">
        <v>2</v>
      </c>
      <c r="K263" s="93">
        <f t="shared" si="62"/>
        <v>6.8</v>
      </c>
      <c r="L263" s="300"/>
      <c r="M263" s="212"/>
    </row>
    <row r="264" spans="1:13" outlineLevel="1" x14ac:dyDescent="0.3">
      <c r="A264" s="366"/>
      <c r="B264" s="323"/>
      <c r="C264" s="349"/>
      <c r="D264" s="352"/>
      <c r="E264" s="355"/>
      <c r="F264" s="312"/>
      <c r="G264" s="99" t="s">
        <v>36</v>
      </c>
      <c r="H264" s="90" t="s">
        <v>14</v>
      </c>
      <c r="I264" s="86">
        <f>D254*1.3</f>
        <v>1.3</v>
      </c>
      <c r="J264" s="83">
        <v>10</v>
      </c>
      <c r="K264" s="93">
        <f t="shared" si="62"/>
        <v>13</v>
      </c>
      <c r="L264" s="300"/>
      <c r="M264" s="212"/>
    </row>
    <row r="265" spans="1:13" outlineLevel="1" x14ac:dyDescent="0.3">
      <c r="A265" s="366"/>
      <c r="B265" s="323"/>
      <c r="C265" s="349"/>
      <c r="D265" s="352"/>
      <c r="E265" s="355"/>
      <c r="F265" s="312"/>
      <c r="G265" s="99" t="s">
        <v>37</v>
      </c>
      <c r="H265" s="90" t="s">
        <v>11</v>
      </c>
      <c r="I265" s="86">
        <f>D254*0.4</f>
        <v>0.4</v>
      </c>
      <c r="J265" s="83">
        <v>13</v>
      </c>
      <c r="K265" s="93">
        <f t="shared" si="62"/>
        <v>5.2</v>
      </c>
      <c r="L265" s="300"/>
      <c r="M265" s="212"/>
    </row>
    <row r="266" spans="1:13" ht="12.6" outlineLevel="1" thickBot="1" x14ac:dyDescent="0.35">
      <c r="A266" s="367"/>
      <c r="B266" s="324"/>
      <c r="C266" s="350"/>
      <c r="D266" s="353"/>
      <c r="E266" s="356"/>
      <c r="F266" s="313"/>
      <c r="G266" s="58" t="s">
        <v>53</v>
      </c>
      <c r="H266" s="53" t="s">
        <v>23</v>
      </c>
      <c r="I266" s="87">
        <f>D254*0.1</f>
        <v>0.1</v>
      </c>
      <c r="J266" s="84">
        <v>40</v>
      </c>
      <c r="K266" s="88">
        <f t="shared" si="62"/>
        <v>4</v>
      </c>
      <c r="L266" s="301"/>
      <c r="M266" s="212"/>
    </row>
    <row r="267" spans="1:13" ht="15" customHeight="1" outlineLevel="1" x14ac:dyDescent="0.3">
      <c r="A267" s="365">
        <v>3</v>
      </c>
      <c r="B267" s="322" t="s">
        <v>38</v>
      </c>
      <c r="C267" s="302" t="s">
        <v>12</v>
      </c>
      <c r="D267" s="305">
        <v>1</v>
      </c>
      <c r="E267" s="308">
        <v>460</v>
      </c>
      <c r="F267" s="363">
        <f>E267*D267</f>
        <v>460</v>
      </c>
      <c r="G267" s="49" t="s">
        <v>25</v>
      </c>
      <c r="H267" s="50" t="s">
        <v>12</v>
      </c>
      <c r="I267" s="85">
        <f>D267*1.2</f>
        <v>1.2</v>
      </c>
      <c r="J267" s="82">
        <v>66</v>
      </c>
      <c r="K267" s="51">
        <f t="shared" ref="K267:K305" si="63">J267*I267</f>
        <v>79.2</v>
      </c>
      <c r="L267" s="299">
        <f>SUM(K267:K281,F267)</f>
        <v>703.5</v>
      </c>
      <c r="M267" s="212"/>
    </row>
    <row r="268" spans="1:13" outlineLevel="1" x14ac:dyDescent="0.3">
      <c r="A268" s="366"/>
      <c r="B268" s="323"/>
      <c r="C268" s="348"/>
      <c r="D268" s="351"/>
      <c r="E268" s="354"/>
      <c r="F268" s="364"/>
      <c r="G268" s="99" t="s">
        <v>26</v>
      </c>
      <c r="H268" s="90" t="s">
        <v>14</v>
      </c>
      <c r="I268" s="86">
        <f>D267*3</f>
        <v>3</v>
      </c>
      <c r="J268" s="83">
        <v>24</v>
      </c>
      <c r="K268" s="93">
        <f t="shared" si="63"/>
        <v>72</v>
      </c>
      <c r="L268" s="300"/>
      <c r="M268" s="212"/>
    </row>
    <row r="269" spans="1:13" outlineLevel="1" x14ac:dyDescent="0.3">
      <c r="A269" s="366"/>
      <c r="B269" s="323"/>
      <c r="C269" s="349"/>
      <c r="D269" s="352"/>
      <c r="E269" s="355"/>
      <c r="F269" s="312"/>
      <c r="G269" s="99" t="s">
        <v>27</v>
      </c>
      <c r="H269" s="90" t="s">
        <v>14</v>
      </c>
      <c r="I269" s="86">
        <f>D267*1.7</f>
        <v>1.7</v>
      </c>
      <c r="J269" s="83">
        <v>11</v>
      </c>
      <c r="K269" s="93">
        <f t="shared" si="63"/>
        <v>18.7</v>
      </c>
      <c r="L269" s="300"/>
      <c r="M269" s="212"/>
    </row>
    <row r="270" spans="1:13" outlineLevel="1" x14ac:dyDescent="0.3">
      <c r="A270" s="366"/>
      <c r="B270" s="323"/>
      <c r="C270" s="349"/>
      <c r="D270" s="352"/>
      <c r="E270" s="355"/>
      <c r="F270" s="312"/>
      <c r="G270" s="99" t="s">
        <v>28</v>
      </c>
      <c r="H270" s="90" t="s">
        <v>40</v>
      </c>
      <c r="I270" s="86">
        <f>D267*0.2</f>
        <v>0.2</v>
      </c>
      <c r="J270" s="83">
        <v>5</v>
      </c>
      <c r="K270" s="93">
        <f t="shared" si="63"/>
        <v>1</v>
      </c>
      <c r="L270" s="300"/>
      <c r="M270" s="212"/>
    </row>
    <row r="271" spans="1:13" outlineLevel="1" x14ac:dyDescent="0.3">
      <c r="A271" s="366"/>
      <c r="B271" s="323"/>
      <c r="C271" s="349"/>
      <c r="D271" s="352"/>
      <c r="E271" s="355"/>
      <c r="F271" s="312"/>
      <c r="G271" s="99" t="s">
        <v>29</v>
      </c>
      <c r="H271" s="90" t="s">
        <v>40</v>
      </c>
      <c r="I271" s="86">
        <f>D267*1.7</f>
        <v>1.7</v>
      </c>
      <c r="J271" s="83">
        <v>12</v>
      </c>
      <c r="K271" s="93">
        <f t="shared" si="63"/>
        <v>20.399999999999999</v>
      </c>
      <c r="L271" s="300"/>
      <c r="M271" s="212"/>
    </row>
    <row r="272" spans="1:13" outlineLevel="1" x14ac:dyDescent="0.3">
      <c r="A272" s="366"/>
      <c r="B272" s="323"/>
      <c r="C272" s="349"/>
      <c r="D272" s="352"/>
      <c r="E272" s="355"/>
      <c r="F272" s="312"/>
      <c r="G272" s="99" t="s">
        <v>30</v>
      </c>
      <c r="H272" s="90" t="s">
        <v>40</v>
      </c>
      <c r="I272" s="86">
        <f>D267*0.7</f>
        <v>0.7</v>
      </c>
      <c r="J272" s="83">
        <v>8</v>
      </c>
      <c r="K272" s="93">
        <f t="shared" si="63"/>
        <v>5.6</v>
      </c>
      <c r="L272" s="300"/>
      <c r="M272" s="212"/>
    </row>
    <row r="273" spans="1:37" outlineLevel="1" x14ac:dyDescent="0.3">
      <c r="A273" s="366"/>
      <c r="B273" s="323"/>
      <c r="C273" s="349"/>
      <c r="D273" s="352"/>
      <c r="E273" s="355"/>
      <c r="F273" s="312"/>
      <c r="G273" s="99" t="s">
        <v>31</v>
      </c>
      <c r="H273" s="90" t="s">
        <v>40</v>
      </c>
      <c r="I273" s="86">
        <f>D267*0.7</f>
        <v>0.7</v>
      </c>
      <c r="J273" s="83">
        <v>5</v>
      </c>
      <c r="K273" s="93">
        <f t="shared" si="63"/>
        <v>3.5</v>
      </c>
      <c r="L273" s="300"/>
      <c r="M273" s="212"/>
    </row>
    <row r="274" spans="1:37" outlineLevel="1" x14ac:dyDescent="0.3">
      <c r="A274" s="366"/>
      <c r="B274" s="323"/>
      <c r="C274" s="349"/>
      <c r="D274" s="352"/>
      <c r="E274" s="355"/>
      <c r="F274" s="312"/>
      <c r="G274" s="99" t="s">
        <v>32</v>
      </c>
      <c r="H274" s="90" t="s">
        <v>40</v>
      </c>
      <c r="I274" s="86">
        <f>D267*0.7</f>
        <v>0.7</v>
      </c>
      <c r="J274" s="83">
        <v>7</v>
      </c>
      <c r="K274" s="93">
        <f t="shared" si="63"/>
        <v>4.8999999999999995</v>
      </c>
      <c r="L274" s="300"/>
      <c r="M274" s="212"/>
    </row>
    <row r="275" spans="1:37" outlineLevel="1" x14ac:dyDescent="0.3">
      <c r="A275" s="366"/>
      <c r="B275" s="323"/>
      <c r="C275" s="349"/>
      <c r="D275" s="352"/>
      <c r="E275" s="355"/>
      <c r="F275" s="312"/>
      <c r="G275" s="99" t="s">
        <v>33</v>
      </c>
      <c r="H275" s="90" t="s">
        <v>40</v>
      </c>
      <c r="I275" s="86">
        <f>D267*2</f>
        <v>2</v>
      </c>
      <c r="J275" s="83">
        <v>0.3</v>
      </c>
      <c r="K275" s="93">
        <f t="shared" si="63"/>
        <v>0.6</v>
      </c>
      <c r="L275" s="300"/>
      <c r="M275" s="212"/>
    </row>
    <row r="276" spans="1:37" outlineLevel="1" x14ac:dyDescent="0.3">
      <c r="A276" s="366"/>
      <c r="B276" s="323"/>
      <c r="C276" s="349"/>
      <c r="D276" s="352"/>
      <c r="E276" s="355"/>
      <c r="F276" s="312"/>
      <c r="G276" s="99" t="s">
        <v>34</v>
      </c>
      <c r="H276" s="90" t="s">
        <v>40</v>
      </c>
      <c r="I276" s="86">
        <f>D267*28</f>
        <v>28</v>
      </c>
      <c r="J276" s="83">
        <v>0.2</v>
      </c>
      <c r="K276" s="93">
        <f t="shared" si="63"/>
        <v>5.6000000000000005</v>
      </c>
      <c r="L276" s="300"/>
      <c r="M276" s="212"/>
    </row>
    <row r="277" spans="1:37" outlineLevel="1" x14ac:dyDescent="0.3">
      <c r="A277" s="366"/>
      <c r="B277" s="323"/>
      <c r="C277" s="349"/>
      <c r="D277" s="352"/>
      <c r="E277" s="355"/>
      <c r="F277" s="312"/>
      <c r="G277" s="99" t="s">
        <v>35</v>
      </c>
      <c r="H277" s="90" t="s">
        <v>40</v>
      </c>
      <c r="I277" s="86">
        <f>D267*1</f>
        <v>1</v>
      </c>
      <c r="J277" s="83">
        <v>3</v>
      </c>
      <c r="K277" s="93">
        <f t="shared" si="63"/>
        <v>3</v>
      </c>
      <c r="L277" s="300"/>
      <c r="M277" s="212"/>
    </row>
    <row r="278" spans="1:37" outlineLevel="1" x14ac:dyDescent="0.3">
      <c r="A278" s="366"/>
      <c r="B278" s="323"/>
      <c r="C278" s="349"/>
      <c r="D278" s="352"/>
      <c r="E278" s="355"/>
      <c r="F278" s="312"/>
      <c r="G278" s="99" t="s">
        <v>41</v>
      </c>
      <c r="H278" s="90" t="s">
        <v>40</v>
      </c>
      <c r="I278" s="86">
        <f>2*I269</f>
        <v>3.4</v>
      </c>
      <c r="J278" s="83">
        <v>2</v>
      </c>
      <c r="K278" s="93">
        <f t="shared" si="63"/>
        <v>6.8</v>
      </c>
      <c r="L278" s="300"/>
      <c r="M278" s="212"/>
    </row>
    <row r="279" spans="1:37" outlineLevel="1" x14ac:dyDescent="0.3">
      <c r="A279" s="366"/>
      <c r="B279" s="323"/>
      <c r="C279" s="349"/>
      <c r="D279" s="352"/>
      <c r="E279" s="355"/>
      <c r="F279" s="312"/>
      <c r="G279" s="99" t="s">
        <v>36</v>
      </c>
      <c r="H279" s="90" t="s">
        <v>14</v>
      </c>
      <c r="I279" s="86">
        <f>D267*1.3</f>
        <v>1.3</v>
      </c>
      <c r="J279" s="83">
        <v>10</v>
      </c>
      <c r="K279" s="93">
        <f t="shared" si="63"/>
        <v>13</v>
      </c>
      <c r="L279" s="300"/>
      <c r="M279" s="212"/>
    </row>
    <row r="280" spans="1:37" outlineLevel="1" x14ac:dyDescent="0.3">
      <c r="A280" s="366"/>
      <c r="B280" s="323"/>
      <c r="C280" s="349"/>
      <c r="D280" s="352"/>
      <c r="E280" s="355"/>
      <c r="F280" s="312"/>
      <c r="G280" s="99" t="s">
        <v>37</v>
      </c>
      <c r="H280" s="90" t="s">
        <v>11</v>
      </c>
      <c r="I280" s="86">
        <f>D267*0.4</f>
        <v>0.4</v>
      </c>
      <c r="J280" s="83">
        <v>13</v>
      </c>
      <c r="K280" s="93">
        <f t="shared" si="63"/>
        <v>5.2</v>
      </c>
      <c r="L280" s="300"/>
      <c r="M280" s="212"/>
    </row>
    <row r="281" spans="1:37" ht="12.6" outlineLevel="1" thickBot="1" x14ac:dyDescent="0.35">
      <c r="A281" s="367"/>
      <c r="B281" s="324"/>
      <c r="C281" s="350"/>
      <c r="D281" s="353"/>
      <c r="E281" s="356"/>
      <c r="F281" s="313"/>
      <c r="G281" s="58" t="s">
        <v>53</v>
      </c>
      <c r="H281" s="53" t="s">
        <v>23</v>
      </c>
      <c r="I281" s="87">
        <f>D267*0.1</f>
        <v>0.1</v>
      </c>
      <c r="J281" s="84">
        <v>40</v>
      </c>
      <c r="K281" s="88">
        <f t="shared" si="63"/>
        <v>4</v>
      </c>
      <c r="L281" s="301"/>
      <c r="M281" s="212"/>
    </row>
    <row r="282" spans="1:37" s="4" customFormat="1" outlineLevel="1" x14ac:dyDescent="0.25">
      <c r="A282" s="281">
        <v>4</v>
      </c>
      <c r="B282" s="272" t="s">
        <v>85</v>
      </c>
      <c r="C282" s="254" t="s">
        <v>12</v>
      </c>
      <c r="D282" s="257">
        <v>1</v>
      </c>
      <c r="E282" s="260">
        <v>540</v>
      </c>
      <c r="F282" s="257">
        <f>E282*D282</f>
        <v>540</v>
      </c>
      <c r="G282" s="56" t="s">
        <v>92</v>
      </c>
      <c r="H282" s="70" t="s">
        <v>12</v>
      </c>
      <c r="I282" s="73">
        <f>D282*2*1.2</f>
        <v>2.4</v>
      </c>
      <c r="J282" s="57">
        <v>150</v>
      </c>
      <c r="K282" s="68">
        <f t="shared" si="63"/>
        <v>360</v>
      </c>
      <c r="L282" s="357">
        <f>SUM(K282:K294,F282)</f>
        <v>1054.5999999999999</v>
      </c>
      <c r="M282" s="206"/>
    </row>
    <row r="283" spans="1:37" s="4" customFormat="1" outlineLevel="1" x14ac:dyDescent="0.25">
      <c r="A283" s="283"/>
      <c r="B283" s="273"/>
      <c r="C283" s="255"/>
      <c r="D283" s="258"/>
      <c r="E283" s="261"/>
      <c r="F283" s="258"/>
      <c r="G283" s="5" t="s">
        <v>93</v>
      </c>
      <c r="H283" s="71" t="s">
        <v>14</v>
      </c>
      <c r="I283" s="74">
        <f>D282*2.9</f>
        <v>2.9</v>
      </c>
      <c r="J283" s="8">
        <v>24</v>
      </c>
      <c r="K283" s="6">
        <f t="shared" si="63"/>
        <v>69.599999999999994</v>
      </c>
      <c r="L283" s="358"/>
      <c r="M283" s="206"/>
    </row>
    <row r="284" spans="1:37" s="4" customFormat="1" outlineLevel="1" x14ac:dyDescent="0.25">
      <c r="A284" s="283"/>
      <c r="B284" s="273"/>
      <c r="C284" s="255"/>
      <c r="D284" s="258"/>
      <c r="E284" s="261"/>
      <c r="F284" s="258"/>
      <c r="G284" s="5" t="s">
        <v>94</v>
      </c>
      <c r="H284" s="71" t="s">
        <v>14</v>
      </c>
      <c r="I284" s="74">
        <f>D282</f>
        <v>1</v>
      </c>
      <c r="J284" s="8">
        <v>11</v>
      </c>
      <c r="K284" s="6">
        <f t="shared" si="63"/>
        <v>11</v>
      </c>
      <c r="L284" s="358"/>
      <c r="M284" s="206"/>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1:37" s="4" customFormat="1" outlineLevel="1" x14ac:dyDescent="0.25">
      <c r="A285" s="283"/>
      <c r="B285" s="273"/>
      <c r="C285" s="255"/>
      <c r="D285" s="258"/>
      <c r="E285" s="261"/>
      <c r="F285" s="258"/>
      <c r="G285" s="5" t="s">
        <v>95</v>
      </c>
      <c r="H285" s="71" t="s">
        <v>40</v>
      </c>
      <c r="I285" s="74">
        <f>I283*0.2</f>
        <v>0.57999999999999996</v>
      </c>
      <c r="J285" s="8">
        <v>5</v>
      </c>
      <c r="K285" s="6">
        <f t="shared" si="63"/>
        <v>2.9</v>
      </c>
      <c r="L285" s="358"/>
      <c r="M285" s="206"/>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1:37" s="4" customFormat="1" ht="24" outlineLevel="1" x14ac:dyDescent="0.25">
      <c r="A286" s="283"/>
      <c r="B286" s="273"/>
      <c r="C286" s="255"/>
      <c r="D286" s="258"/>
      <c r="E286" s="261"/>
      <c r="F286" s="258"/>
      <c r="G286" s="5" t="s">
        <v>86</v>
      </c>
      <c r="H286" s="71" t="s">
        <v>40</v>
      </c>
      <c r="I286" s="74">
        <f>D282*2</f>
        <v>2</v>
      </c>
      <c r="J286" s="8">
        <v>12</v>
      </c>
      <c r="K286" s="6">
        <f t="shared" si="63"/>
        <v>24</v>
      </c>
      <c r="L286" s="358"/>
      <c r="M286" s="206"/>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1:37" s="4" customFormat="1" outlineLevel="1" x14ac:dyDescent="0.25">
      <c r="A287" s="283"/>
      <c r="B287" s="273"/>
      <c r="C287" s="255"/>
      <c r="D287" s="258"/>
      <c r="E287" s="261"/>
      <c r="F287" s="258"/>
      <c r="G287" s="5" t="s">
        <v>87</v>
      </c>
      <c r="H287" s="71" t="s">
        <v>40</v>
      </c>
      <c r="I287" s="74">
        <f>D282</f>
        <v>1</v>
      </c>
      <c r="J287" s="8">
        <v>8</v>
      </c>
      <c r="K287" s="6">
        <f t="shared" si="63"/>
        <v>8</v>
      </c>
      <c r="L287" s="358"/>
      <c r="M287" s="206"/>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1:37" s="4" customFormat="1" outlineLevel="1" x14ac:dyDescent="0.25">
      <c r="A288" s="283"/>
      <c r="B288" s="273"/>
      <c r="C288" s="255"/>
      <c r="D288" s="258"/>
      <c r="E288" s="261"/>
      <c r="F288" s="258"/>
      <c r="G288" s="5" t="s">
        <v>88</v>
      </c>
      <c r="H288" s="71" t="s">
        <v>40</v>
      </c>
      <c r="I288" s="74">
        <f>D282</f>
        <v>1</v>
      </c>
      <c r="J288" s="8">
        <v>5</v>
      </c>
      <c r="K288" s="6">
        <f t="shared" si="63"/>
        <v>5</v>
      </c>
      <c r="L288" s="358"/>
      <c r="M288" s="206"/>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1:37" s="4" customFormat="1" outlineLevel="1" x14ac:dyDescent="0.25">
      <c r="A289" s="283"/>
      <c r="B289" s="273"/>
      <c r="C289" s="255"/>
      <c r="D289" s="258"/>
      <c r="E289" s="261"/>
      <c r="F289" s="258"/>
      <c r="G289" s="5" t="s">
        <v>89</v>
      </c>
      <c r="H289" s="71" t="s">
        <v>40</v>
      </c>
      <c r="I289" s="74">
        <f>D282*23</f>
        <v>23</v>
      </c>
      <c r="J289" s="8">
        <v>0.2</v>
      </c>
      <c r="K289" s="6">
        <f t="shared" si="63"/>
        <v>4.6000000000000005</v>
      </c>
      <c r="L289" s="358"/>
      <c r="M289" s="206"/>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1:37" s="4" customFormat="1" outlineLevel="1" x14ac:dyDescent="0.25">
      <c r="A290" s="283"/>
      <c r="B290" s="273"/>
      <c r="C290" s="255"/>
      <c r="D290" s="258"/>
      <c r="E290" s="261"/>
      <c r="F290" s="258"/>
      <c r="G290" s="5" t="s">
        <v>90</v>
      </c>
      <c r="H290" s="71" t="s">
        <v>40</v>
      </c>
      <c r="I290" s="74">
        <f>D282*0.7</f>
        <v>0.7</v>
      </c>
      <c r="J290" s="8">
        <v>3</v>
      </c>
      <c r="K290" s="6">
        <f t="shared" si="63"/>
        <v>2.0999999999999996</v>
      </c>
      <c r="L290" s="358"/>
      <c r="M290" s="206"/>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1:37" s="4" customFormat="1" outlineLevel="1" x14ac:dyDescent="0.25">
      <c r="A291" s="283"/>
      <c r="B291" s="273"/>
      <c r="C291" s="255"/>
      <c r="D291" s="258"/>
      <c r="E291" s="261"/>
      <c r="F291" s="258"/>
      <c r="G291" s="5" t="s">
        <v>91</v>
      </c>
      <c r="H291" s="71" t="s">
        <v>40</v>
      </c>
      <c r="I291" s="74">
        <f>D282*2</f>
        <v>2</v>
      </c>
      <c r="J291" s="8">
        <v>2</v>
      </c>
      <c r="K291" s="6">
        <f t="shared" si="63"/>
        <v>4</v>
      </c>
      <c r="L291" s="358"/>
      <c r="M291" s="206"/>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1:37" s="4" customFormat="1" outlineLevel="1" x14ac:dyDescent="0.25">
      <c r="A292" s="283"/>
      <c r="B292" s="273"/>
      <c r="C292" s="255"/>
      <c r="D292" s="258"/>
      <c r="E292" s="261"/>
      <c r="F292" s="258"/>
      <c r="G292" s="5" t="s">
        <v>36</v>
      </c>
      <c r="H292" s="71" t="s">
        <v>14</v>
      </c>
      <c r="I292" s="74">
        <f>D282*1.25</f>
        <v>1.25</v>
      </c>
      <c r="J292" s="8">
        <v>10</v>
      </c>
      <c r="K292" s="6">
        <f t="shared" si="63"/>
        <v>12.5</v>
      </c>
      <c r="L292" s="358"/>
      <c r="M292" s="206"/>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1:37" s="4" customFormat="1" outlineLevel="1" x14ac:dyDescent="0.25">
      <c r="A293" s="283"/>
      <c r="B293" s="273"/>
      <c r="C293" s="255"/>
      <c r="D293" s="258"/>
      <c r="E293" s="261"/>
      <c r="F293" s="258"/>
      <c r="G293" s="99" t="s">
        <v>37</v>
      </c>
      <c r="H293" s="71" t="s">
        <v>11</v>
      </c>
      <c r="I293" s="74">
        <f>D282*0.5</f>
        <v>0.5</v>
      </c>
      <c r="J293" s="8">
        <v>13</v>
      </c>
      <c r="K293" s="6">
        <f t="shared" si="63"/>
        <v>6.5</v>
      </c>
      <c r="L293" s="358"/>
      <c r="M293" s="206"/>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1:37" s="4" customFormat="1" ht="12.6" outlineLevel="1" thickBot="1" x14ac:dyDescent="0.3">
      <c r="A294" s="282"/>
      <c r="B294" s="274"/>
      <c r="C294" s="256"/>
      <c r="D294" s="259"/>
      <c r="E294" s="262"/>
      <c r="F294" s="259"/>
      <c r="G294" s="58" t="s">
        <v>53</v>
      </c>
      <c r="H294" s="72" t="s">
        <v>54</v>
      </c>
      <c r="I294" s="75">
        <f>D282*0.11</f>
        <v>0.11</v>
      </c>
      <c r="J294" s="59">
        <v>40</v>
      </c>
      <c r="K294" s="60">
        <f t="shared" si="63"/>
        <v>4.4000000000000004</v>
      </c>
      <c r="L294" s="359"/>
      <c r="M294" s="206"/>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1:37" s="4" customFormat="1" ht="24.6" outlineLevel="1" thickBot="1" x14ac:dyDescent="0.3">
      <c r="A295" s="32">
        <v>5</v>
      </c>
      <c r="B295" s="33" t="s">
        <v>80</v>
      </c>
      <c r="C295" s="63" t="s">
        <v>12</v>
      </c>
      <c r="D295" s="35">
        <v>1</v>
      </c>
      <c r="E295" s="36">
        <v>320</v>
      </c>
      <c r="F295" s="35">
        <f>E295*D295</f>
        <v>320</v>
      </c>
      <c r="G295" s="37" t="s">
        <v>81</v>
      </c>
      <c r="H295" s="63" t="s">
        <v>12</v>
      </c>
      <c r="I295" s="35">
        <f>D295*1.2</f>
        <v>1.2</v>
      </c>
      <c r="J295" s="38">
        <v>340</v>
      </c>
      <c r="K295" s="66">
        <f t="shared" si="63"/>
        <v>408</v>
      </c>
      <c r="L295" s="39">
        <f>SUM(K295,F295)</f>
        <v>728</v>
      </c>
      <c r="M295" s="206"/>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1:37" s="4" customFormat="1" ht="24.6" outlineLevel="1" thickBot="1" x14ac:dyDescent="0.3">
      <c r="A296" s="32">
        <v>6</v>
      </c>
      <c r="B296" s="33" t="s">
        <v>177</v>
      </c>
      <c r="C296" s="63" t="s">
        <v>12</v>
      </c>
      <c r="D296" s="35">
        <v>1</v>
      </c>
      <c r="E296" s="36">
        <v>480</v>
      </c>
      <c r="F296" s="35">
        <f>E296*D296</f>
        <v>480</v>
      </c>
      <c r="G296" s="37" t="s">
        <v>178</v>
      </c>
      <c r="H296" s="63" t="s">
        <v>12</v>
      </c>
      <c r="I296" s="35">
        <f>D296*1.2</f>
        <v>1.2</v>
      </c>
      <c r="J296" s="38">
        <v>900</v>
      </c>
      <c r="K296" s="66">
        <f t="shared" si="63"/>
        <v>1080</v>
      </c>
      <c r="L296" s="39">
        <f>SUM(K296,F296)</f>
        <v>1560</v>
      </c>
      <c r="M296" s="206"/>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1:37" ht="12.6" outlineLevel="1" thickBot="1" x14ac:dyDescent="0.35">
      <c r="A297" s="41">
        <v>7</v>
      </c>
      <c r="B297" s="42" t="s">
        <v>315</v>
      </c>
      <c r="C297" s="43" t="s">
        <v>14</v>
      </c>
      <c r="D297" s="44">
        <v>1</v>
      </c>
      <c r="E297" s="45">
        <v>650</v>
      </c>
      <c r="F297" s="46">
        <f t="shared" ref="F297" si="64">E297*D297</f>
        <v>650</v>
      </c>
      <c r="G297" s="42" t="s">
        <v>176</v>
      </c>
      <c r="H297" s="47" t="s">
        <v>11</v>
      </c>
      <c r="I297" s="45">
        <f>D297*4</f>
        <v>4</v>
      </c>
      <c r="J297" s="44">
        <v>11.5</v>
      </c>
      <c r="K297" s="46">
        <f t="shared" si="63"/>
        <v>46</v>
      </c>
      <c r="L297" s="48">
        <f>K297+F297</f>
        <v>696</v>
      </c>
      <c r="M297" s="212"/>
    </row>
    <row r="298" spans="1:37" s="4" customFormat="1" ht="14.25" customHeight="1" outlineLevel="1" thickBot="1" x14ac:dyDescent="0.3">
      <c r="A298" s="32">
        <v>8</v>
      </c>
      <c r="B298" s="33" t="s">
        <v>323</v>
      </c>
      <c r="C298" s="63" t="s">
        <v>12</v>
      </c>
      <c r="D298" s="35">
        <v>1</v>
      </c>
      <c r="E298" s="36">
        <v>30</v>
      </c>
      <c r="F298" s="35">
        <f>E298*D298</f>
        <v>30</v>
      </c>
      <c r="G298" s="37" t="s">
        <v>53</v>
      </c>
      <c r="H298" s="63" t="s">
        <v>11</v>
      </c>
      <c r="I298" s="35">
        <f>D298*0.11</f>
        <v>0.11</v>
      </c>
      <c r="J298" s="38">
        <v>40</v>
      </c>
      <c r="K298" s="66">
        <f t="shared" si="63"/>
        <v>4.4000000000000004</v>
      </c>
      <c r="L298" s="39">
        <f>SUM(K298,F298)</f>
        <v>34.4</v>
      </c>
      <c r="M298" s="206"/>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1:37" s="4" customFormat="1" outlineLevel="1" x14ac:dyDescent="0.25">
      <c r="A299" s="281">
        <v>9</v>
      </c>
      <c r="B299" s="272" t="s">
        <v>316</v>
      </c>
      <c r="C299" s="284" t="s">
        <v>14</v>
      </c>
      <c r="D299" s="257">
        <v>1</v>
      </c>
      <c r="E299" s="291">
        <v>15</v>
      </c>
      <c r="F299" s="257">
        <f>E299*D299</f>
        <v>15</v>
      </c>
      <c r="G299" s="56" t="s">
        <v>68</v>
      </c>
      <c r="H299" s="70" t="s">
        <v>14</v>
      </c>
      <c r="I299" s="73">
        <f>D299*1.2</f>
        <v>1.2</v>
      </c>
      <c r="J299" s="57">
        <v>16</v>
      </c>
      <c r="K299" s="68">
        <f t="shared" si="63"/>
        <v>19.2</v>
      </c>
      <c r="L299" s="269">
        <f>SUM(K299:K300,F299)</f>
        <v>35.866666666666667</v>
      </c>
      <c r="M299" s="206"/>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1:37" s="4" customFormat="1" ht="12.6" outlineLevel="1" thickBot="1" x14ac:dyDescent="0.3">
      <c r="A300" s="282"/>
      <c r="B300" s="274"/>
      <c r="C300" s="286"/>
      <c r="D300" s="259"/>
      <c r="E300" s="292"/>
      <c r="F300" s="259"/>
      <c r="G300" s="58" t="s">
        <v>69</v>
      </c>
      <c r="H300" s="72" t="s">
        <v>70</v>
      </c>
      <c r="I300" s="75">
        <f>D299/30</f>
        <v>3.3333333333333333E-2</v>
      </c>
      <c r="J300" s="59">
        <v>50</v>
      </c>
      <c r="K300" s="60">
        <f t="shared" si="63"/>
        <v>1.6666666666666667</v>
      </c>
      <c r="L300" s="271"/>
      <c r="M300" s="206"/>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1:37" outlineLevel="1" x14ac:dyDescent="0.3">
      <c r="A301" s="275">
        <v>10</v>
      </c>
      <c r="B301" s="322" t="s">
        <v>317</v>
      </c>
      <c r="C301" s="302" t="s">
        <v>12</v>
      </c>
      <c r="D301" s="305">
        <v>1</v>
      </c>
      <c r="E301" s="308">
        <v>280</v>
      </c>
      <c r="F301" s="311">
        <f t="shared" ref="F301" si="65">E301*D301</f>
        <v>280</v>
      </c>
      <c r="G301" s="49" t="s">
        <v>42</v>
      </c>
      <c r="H301" s="50" t="s">
        <v>11</v>
      </c>
      <c r="I301" s="85">
        <f>D301*2</f>
        <v>2</v>
      </c>
      <c r="J301" s="82">
        <v>32</v>
      </c>
      <c r="K301" s="51">
        <f t="shared" si="63"/>
        <v>64</v>
      </c>
      <c r="L301" s="299">
        <f>SUM(K301:K303,F301)</f>
        <v>350.3</v>
      </c>
      <c r="M301" s="212"/>
    </row>
    <row r="302" spans="1:37" outlineLevel="1" x14ac:dyDescent="0.3">
      <c r="A302" s="276"/>
      <c r="B302" s="323"/>
      <c r="C302" s="303"/>
      <c r="D302" s="306"/>
      <c r="E302" s="309"/>
      <c r="F302" s="312"/>
      <c r="G302" s="5" t="s">
        <v>72</v>
      </c>
      <c r="H302" s="71" t="s">
        <v>12</v>
      </c>
      <c r="I302" s="74">
        <f>D300/50</f>
        <v>0</v>
      </c>
      <c r="J302" s="8">
        <v>300</v>
      </c>
      <c r="K302" s="6">
        <f t="shared" si="63"/>
        <v>0</v>
      </c>
      <c r="L302" s="300"/>
      <c r="M302" s="212"/>
    </row>
    <row r="303" spans="1:37" ht="12.6" outlineLevel="1" thickBot="1" x14ac:dyDescent="0.35">
      <c r="A303" s="277"/>
      <c r="B303" s="324"/>
      <c r="C303" s="304"/>
      <c r="D303" s="307"/>
      <c r="E303" s="310"/>
      <c r="F303" s="313"/>
      <c r="G303" s="52" t="s">
        <v>43</v>
      </c>
      <c r="H303" s="53" t="s">
        <v>12</v>
      </c>
      <c r="I303" s="87">
        <f>D301*1.05</f>
        <v>1.05</v>
      </c>
      <c r="J303" s="84">
        <v>6</v>
      </c>
      <c r="K303" s="54">
        <f t="shared" si="63"/>
        <v>6.3000000000000007</v>
      </c>
      <c r="L303" s="301"/>
      <c r="M303" s="212"/>
    </row>
    <row r="304" spans="1:37" s="4" customFormat="1" outlineLevel="1" x14ac:dyDescent="0.25">
      <c r="A304" s="289">
        <v>11</v>
      </c>
      <c r="B304" s="251" t="s">
        <v>318</v>
      </c>
      <c r="C304" s="297" t="s">
        <v>12</v>
      </c>
      <c r="D304" s="293">
        <v>1</v>
      </c>
      <c r="E304" s="295">
        <v>250</v>
      </c>
      <c r="F304" s="293">
        <f>E304*D304</f>
        <v>250</v>
      </c>
      <c r="G304" s="49" t="s">
        <v>42</v>
      </c>
      <c r="H304" s="70" t="s">
        <v>11</v>
      </c>
      <c r="I304" s="73">
        <f>D304*1.4</f>
        <v>1.4</v>
      </c>
      <c r="J304" s="57">
        <v>32</v>
      </c>
      <c r="K304" s="68">
        <f t="shared" si="63"/>
        <v>44.8</v>
      </c>
      <c r="L304" s="269">
        <f>SUM(K304:K305,F304)</f>
        <v>294.8</v>
      </c>
      <c r="M304" s="206"/>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1:37" s="4" customFormat="1" ht="12.6" outlineLevel="1" thickBot="1" x14ac:dyDescent="0.3">
      <c r="A305" s="290"/>
      <c r="B305" s="253"/>
      <c r="C305" s="298"/>
      <c r="D305" s="294"/>
      <c r="E305" s="296"/>
      <c r="F305" s="294"/>
      <c r="G305" s="58" t="s">
        <v>72</v>
      </c>
      <c r="H305" s="72" t="s">
        <v>12</v>
      </c>
      <c r="I305" s="75">
        <f>D303/50</f>
        <v>0</v>
      </c>
      <c r="J305" s="59">
        <v>300</v>
      </c>
      <c r="K305" s="60">
        <f t="shared" si="63"/>
        <v>0</v>
      </c>
      <c r="L305" s="271"/>
      <c r="M305" s="206"/>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1:37" s="4" customFormat="1" ht="14.25" customHeight="1" outlineLevel="1" thickBot="1" x14ac:dyDescent="0.3">
      <c r="A306" s="32">
        <v>12</v>
      </c>
      <c r="B306" s="33" t="s">
        <v>319</v>
      </c>
      <c r="C306" s="63" t="s">
        <v>12</v>
      </c>
      <c r="D306" s="35">
        <v>1</v>
      </c>
      <c r="E306" s="36">
        <v>30</v>
      </c>
      <c r="F306" s="35">
        <f>D306*E306</f>
        <v>30</v>
      </c>
      <c r="G306" s="37" t="s">
        <v>53</v>
      </c>
      <c r="H306" s="63" t="s">
        <v>11</v>
      </c>
      <c r="I306" s="35">
        <f>D306*0.11</f>
        <v>0.11</v>
      </c>
      <c r="J306" s="38">
        <v>40</v>
      </c>
      <c r="K306" s="66">
        <f>J306*I306</f>
        <v>4.4000000000000004</v>
      </c>
      <c r="L306" s="39">
        <f>SUM(K306,F306)</f>
        <v>34.4</v>
      </c>
      <c r="M306" s="206"/>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1:37" outlineLevel="1" x14ac:dyDescent="0.3">
      <c r="A307" s="275">
        <v>13</v>
      </c>
      <c r="B307" s="322" t="s">
        <v>320</v>
      </c>
      <c r="C307" s="302" t="s">
        <v>12</v>
      </c>
      <c r="D307" s="305">
        <v>1</v>
      </c>
      <c r="E307" s="308">
        <v>260</v>
      </c>
      <c r="F307" s="311">
        <f t="shared" ref="F307" si="66">E307*D307</f>
        <v>260</v>
      </c>
      <c r="G307" s="49" t="s">
        <v>219</v>
      </c>
      <c r="H307" s="50" t="s">
        <v>11</v>
      </c>
      <c r="I307" s="85">
        <f>D307*0.7</f>
        <v>0.7</v>
      </c>
      <c r="J307" s="82">
        <v>45</v>
      </c>
      <c r="K307" s="51">
        <f t="shared" ref="K307:K317" si="67">J307*I307</f>
        <v>31.499999999999996</v>
      </c>
      <c r="L307" s="299">
        <f>SUM(K307:K308,F307)</f>
        <v>297.5</v>
      </c>
      <c r="M307" s="212"/>
    </row>
    <row r="308" spans="1:37" ht="12.6" outlineLevel="1" thickBot="1" x14ac:dyDescent="0.35">
      <c r="A308" s="277"/>
      <c r="B308" s="324"/>
      <c r="C308" s="304"/>
      <c r="D308" s="307"/>
      <c r="E308" s="310"/>
      <c r="F308" s="313"/>
      <c r="G308" s="58" t="s">
        <v>72</v>
      </c>
      <c r="H308" s="72" t="s">
        <v>12</v>
      </c>
      <c r="I308" s="75">
        <f>D307/50</f>
        <v>0.02</v>
      </c>
      <c r="J308" s="59">
        <v>300</v>
      </c>
      <c r="K308" s="60">
        <f t="shared" si="67"/>
        <v>6</v>
      </c>
      <c r="L308" s="301"/>
      <c r="M308" s="212"/>
    </row>
    <row r="309" spans="1:37" s="4" customFormat="1" outlineLevel="1" x14ac:dyDescent="0.25">
      <c r="A309" s="289">
        <v>14</v>
      </c>
      <c r="B309" s="251" t="s">
        <v>321</v>
      </c>
      <c r="C309" s="297" t="s">
        <v>12</v>
      </c>
      <c r="D309" s="293">
        <v>1</v>
      </c>
      <c r="E309" s="295">
        <v>110</v>
      </c>
      <c r="F309" s="293">
        <f>D309*E309</f>
        <v>110</v>
      </c>
      <c r="G309" s="56" t="s">
        <v>74</v>
      </c>
      <c r="H309" s="70" t="s">
        <v>12</v>
      </c>
      <c r="I309" s="73">
        <f>D309</f>
        <v>1</v>
      </c>
      <c r="J309" s="57">
        <v>16</v>
      </c>
      <c r="K309" s="68">
        <f t="shared" si="67"/>
        <v>16</v>
      </c>
      <c r="L309" s="269">
        <f>SUM(K309:K310,F309)</f>
        <v>226</v>
      </c>
      <c r="M309" s="206"/>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1:37" s="4" customFormat="1" ht="12.6" outlineLevel="1" thickBot="1" x14ac:dyDescent="0.3">
      <c r="A310" s="290"/>
      <c r="B310" s="253"/>
      <c r="C310" s="298"/>
      <c r="D310" s="294"/>
      <c r="E310" s="296"/>
      <c r="F310" s="294"/>
      <c r="G310" s="58" t="s">
        <v>172</v>
      </c>
      <c r="H310" s="72" t="s">
        <v>11</v>
      </c>
      <c r="I310" s="75">
        <f>D309*0.25</f>
        <v>0.25</v>
      </c>
      <c r="J310" s="59">
        <v>400</v>
      </c>
      <c r="K310" s="60">
        <f t="shared" si="67"/>
        <v>100</v>
      </c>
      <c r="L310" s="271"/>
      <c r="M310" s="206"/>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1:37" s="4" customFormat="1" ht="14.25" customHeight="1" outlineLevel="1" thickBot="1" x14ac:dyDescent="0.3">
      <c r="A311" s="32">
        <v>15</v>
      </c>
      <c r="B311" s="33" t="s">
        <v>324</v>
      </c>
      <c r="C311" s="63" t="s">
        <v>12</v>
      </c>
      <c r="D311" s="35">
        <v>1</v>
      </c>
      <c r="E311" s="36">
        <v>30</v>
      </c>
      <c r="F311" s="35">
        <f>D311*E311</f>
        <v>30</v>
      </c>
      <c r="G311" s="37" t="s">
        <v>53</v>
      </c>
      <c r="H311" s="63" t="s">
        <v>11</v>
      </c>
      <c r="I311" s="35">
        <f>D311*0.11</f>
        <v>0.11</v>
      </c>
      <c r="J311" s="38">
        <v>40</v>
      </c>
      <c r="K311" s="66">
        <f>J311*I311</f>
        <v>4.4000000000000004</v>
      </c>
      <c r="L311" s="39">
        <f>SUM(K311,F311)</f>
        <v>34.4</v>
      </c>
      <c r="M311" s="206"/>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1:37" s="4" customFormat="1" ht="24.6" outlineLevel="1" thickBot="1" x14ac:dyDescent="0.3">
      <c r="A312" s="32">
        <v>16</v>
      </c>
      <c r="B312" s="33" t="s">
        <v>322</v>
      </c>
      <c r="C312" s="63" t="s">
        <v>12</v>
      </c>
      <c r="D312" s="35">
        <v>1</v>
      </c>
      <c r="E312" s="36">
        <v>200</v>
      </c>
      <c r="F312" s="35">
        <f>E312*D312</f>
        <v>200</v>
      </c>
      <c r="G312" s="37" t="s">
        <v>221</v>
      </c>
      <c r="H312" s="63" t="s">
        <v>11</v>
      </c>
      <c r="I312" s="35">
        <f>D312*0.35</f>
        <v>0.35</v>
      </c>
      <c r="J312" s="38">
        <v>420</v>
      </c>
      <c r="K312" s="66">
        <f t="shared" si="67"/>
        <v>147</v>
      </c>
      <c r="L312" s="39">
        <f>SUM(K312,F312)</f>
        <v>347</v>
      </c>
      <c r="M312" s="206"/>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1:37" s="10" customFormat="1" outlineLevel="1" x14ac:dyDescent="0.2">
      <c r="A313" s="281">
        <v>17</v>
      </c>
      <c r="B313" s="272" t="s">
        <v>233</v>
      </c>
      <c r="C313" s="254" t="s">
        <v>12</v>
      </c>
      <c r="D313" s="257">
        <v>1</v>
      </c>
      <c r="E313" s="291">
        <v>120</v>
      </c>
      <c r="F313" s="257">
        <f>E313*D313</f>
        <v>120</v>
      </c>
      <c r="G313" s="56" t="s">
        <v>234</v>
      </c>
      <c r="H313" s="70" t="s">
        <v>14</v>
      </c>
      <c r="I313" s="73">
        <f>D313*2.5</f>
        <v>2.5</v>
      </c>
      <c r="J313" s="57">
        <v>30</v>
      </c>
      <c r="K313" s="73">
        <f t="shared" si="67"/>
        <v>75</v>
      </c>
      <c r="L313" s="357">
        <f>SUM(K313:K315,F313)</f>
        <v>256</v>
      </c>
      <c r="M313" s="206"/>
      <c r="N313" s="9"/>
      <c r="O313" s="9"/>
      <c r="P313" s="9"/>
      <c r="Q313" s="9"/>
      <c r="R313" s="9"/>
      <c r="S313" s="9"/>
      <c r="T313" s="9"/>
      <c r="U313" s="9"/>
      <c r="V313" s="9"/>
      <c r="W313" s="9"/>
      <c r="X313" s="9"/>
      <c r="Y313" s="9"/>
      <c r="Z313" s="9"/>
      <c r="AA313" s="9"/>
      <c r="AB313" s="9"/>
      <c r="AC313" s="9"/>
      <c r="AD313" s="9"/>
      <c r="AE313" s="9"/>
      <c r="AF313" s="9"/>
      <c r="AG313" s="9"/>
      <c r="AH313" s="9"/>
      <c r="AI313" s="9"/>
      <c r="AJ313" s="9"/>
      <c r="AK313" s="9"/>
    </row>
    <row r="314" spans="1:37" s="10" customFormat="1" outlineLevel="1" x14ac:dyDescent="0.2">
      <c r="A314" s="283"/>
      <c r="B314" s="273"/>
      <c r="C314" s="255"/>
      <c r="D314" s="258"/>
      <c r="E314" s="360"/>
      <c r="F314" s="258"/>
      <c r="G314" s="5" t="s">
        <v>235</v>
      </c>
      <c r="H314" s="71" t="s">
        <v>40</v>
      </c>
      <c r="I314" s="74">
        <f>D313*4</f>
        <v>4</v>
      </c>
      <c r="J314" s="8">
        <v>0.25</v>
      </c>
      <c r="K314" s="74">
        <f t="shared" si="67"/>
        <v>1</v>
      </c>
      <c r="L314" s="358"/>
      <c r="M314" s="206"/>
      <c r="N314" s="9"/>
      <c r="O314" s="9"/>
      <c r="P314" s="9"/>
      <c r="Q314" s="9"/>
      <c r="R314" s="9"/>
      <c r="S314" s="9"/>
      <c r="T314" s="9"/>
      <c r="U314" s="9"/>
      <c r="V314" s="9"/>
      <c r="W314" s="9"/>
      <c r="X314" s="9"/>
      <c r="Y314" s="9"/>
      <c r="Z314" s="9"/>
      <c r="AA314" s="9"/>
      <c r="AB314" s="9"/>
      <c r="AC314" s="9"/>
      <c r="AD314" s="9"/>
      <c r="AE314" s="9"/>
      <c r="AF314" s="9"/>
      <c r="AG314" s="9"/>
      <c r="AH314" s="9"/>
      <c r="AI314" s="9"/>
      <c r="AJ314" s="9"/>
      <c r="AK314" s="9"/>
    </row>
    <row r="315" spans="1:37" s="10" customFormat="1" ht="12.6" outlineLevel="1" thickBot="1" x14ac:dyDescent="0.25">
      <c r="A315" s="282"/>
      <c r="B315" s="274"/>
      <c r="C315" s="256"/>
      <c r="D315" s="259"/>
      <c r="E315" s="292"/>
      <c r="F315" s="259"/>
      <c r="G315" s="58" t="s">
        <v>99</v>
      </c>
      <c r="H315" s="72" t="s">
        <v>40</v>
      </c>
      <c r="I315" s="75">
        <f>D313*6</f>
        <v>6</v>
      </c>
      <c r="J315" s="59">
        <v>10</v>
      </c>
      <c r="K315" s="75">
        <f t="shared" si="67"/>
        <v>60</v>
      </c>
      <c r="L315" s="359"/>
      <c r="M315" s="206"/>
      <c r="N315" s="9"/>
      <c r="O315" s="9"/>
      <c r="P315" s="9"/>
      <c r="Q315" s="9"/>
      <c r="R315" s="9"/>
      <c r="S315" s="9"/>
      <c r="T315" s="9"/>
      <c r="U315" s="9"/>
      <c r="V315" s="9"/>
      <c r="W315" s="9"/>
      <c r="X315" s="9"/>
      <c r="Y315" s="9"/>
      <c r="Z315" s="9"/>
      <c r="AA315" s="9"/>
      <c r="AB315" s="9"/>
      <c r="AC315" s="9"/>
      <c r="AD315" s="9"/>
      <c r="AE315" s="9"/>
      <c r="AF315" s="9"/>
      <c r="AG315" s="9"/>
      <c r="AH315" s="9"/>
      <c r="AI315" s="9"/>
      <c r="AJ315" s="9"/>
      <c r="AK315" s="9"/>
    </row>
    <row r="316" spans="1:37" s="10" customFormat="1" outlineLevel="1" x14ac:dyDescent="0.2">
      <c r="A316" s="281">
        <v>18</v>
      </c>
      <c r="B316" s="272" t="s">
        <v>325</v>
      </c>
      <c r="C316" s="254" t="s">
        <v>12</v>
      </c>
      <c r="D316" s="257">
        <v>1</v>
      </c>
      <c r="E316" s="291">
        <v>280</v>
      </c>
      <c r="F316" s="257">
        <f>E316*D316</f>
        <v>280</v>
      </c>
      <c r="G316" s="56" t="s">
        <v>236</v>
      </c>
      <c r="H316" s="70" t="s">
        <v>12</v>
      </c>
      <c r="I316" s="73">
        <f>D316*1.2</f>
        <v>1.2</v>
      </c>
      <c r="J316" s="57">
        <v>180</v>
      </c>
      <c r="K316" s="73">
        <f t="shared" si="67"/>
        <v>216</v>
      </c>
      <c r="L316" s="357">
        <f>SUM(K316:K317,F316)</f>
        <v>521</v>
      </c>
      <c r="M316" s="206"/>
      <c r="N316" s="9"/>
      <c r="O316" s="9"/>
      <c r="P316" s="9"/>
      <c r="Q316" s="9"/>
      <c r="R316" s="9"/>
      <c r="S316" s="9"/>
      <c r="T316" s="9"/>
      <c r="U316" s="9"/>
      <c r="V316" s="9"/>
      <c r="W316" s="9"/>
      <c r="X316" s="9"/>
      <c r="Y316" s="9"/>
      <c r="Z316" s="9"/>
      <c r="AA316" s="9"/>
      <c r="AB316" s="9"/>
      <c r="AC316" s="9"/>
      <c r="AD316" s="9"/>
      <c r="AE316" s="9"/>
      <c r="AF316" s="9"/>
      <c r="AG316" s="9"/>
      <c r="AH316" s="9"/>
      <c r="AI316" s="9"/>
      <c r="AJ316" s="9"/>
      <c r="AK316" s="9"/>
    </row>
    <row r="317" spans="1:37" s="10" customFormat="1" ht="12.6" outlineLevel="1" thickBot="1" x14ac:dyDescent="0.25">
      <c r="A317" s="282"/>
      <c r="B317" s="274"/>
      <c r="C317" s="256"/>
      <c r="D317" s="259"/>
      <c r="E317" s="292"/>
      <c r="F317" s="259"/>
      <c r="G317" s="58" t="s">
        <v>69</v>
      </c>
      <c r="H317" s="72" t="s">
        <v>40</v>
      </c>
      <c r="I317" s="75">
        <f>D316*25</f>
        <v>25</v>
      </c>
      <c r="J317" s="59">
        <v>1</v>
      </c>
      <c r="K317" s="60">
        <f t="shared" si="67"/>
        <v>25</v>
      </c>
      <c r="L317" s="359"/>
      <c r="M317" s="206"/>
      <c r="N317" s="9"/>
      <c r="O317" s="9"/>
      <c r="P317" s="9"/>
      <c r="Q317" s="9"/>
      <c r="R317" s="9"/>
      <c r="S317" s="9"/>
      <c r="T317" s="9"/>
      <c r="U317" s="9"/>
      <c r="V317" s="9"/>
      <c r="W317" s="9"/>
      <c r="X317" s="9"/>
      <c r="Y317" s="9"/>
      <c r="Z317" s="9"/>
      <c r="AA317" s="9"/>
      <c r="AB317" s="9"/>
      <c r="AC317" s="9"/>
      <c r="AD317" s="9"/>
      <c r="AE317" s="9"/>
      <c r="AF317" s="9"/>
      <c r="AG317" s="9"/>
      <c r="AH317" s="9"/>
      <c r="AI317" s="9"/>
      <c r="AJ317" s="9"/>
      <c r="AK317" s="9"/>
    </row>
    <row r="318" spans="1:37" s="10" customFormat="1" outlineLevel="1" x14ac:dyDescent="0.2">
      <c r="A318" s="281">
        <v>19</v>
      </c>
      <c r="B318" s="272" t="s">
        <v>326</v>
      </c>
      <c r="C318" s="254" t="s">
        <v>12</v>
      </c>
      <c r="D318" s="257">
        <v>1</v>
      </c>
      <c r="E318" s="291">
        <v>320</v>
      </c>
      <c r="F318" s="257">
        <f>E318*D318</f>
        <v>320</v>
      </c>
      <c r="G318" s="56" t="s">
        <v>241</v>
      </c>
      <c r="H318" s="70" t="s">
        <v>12</v>
      </c>
      <c r="I318" s="73">
        <f>D318*1.2</f>
        <v>1.2</v>
      </c>
      <c r="J318" s="57">
        <v>120</v>
      </c>
      <c r="K318" s="73">
        <f>J318*I318</f>
        <v>144</v>
      </c>
      <c r="L318" s="357">
        <f>SUM(K318:K319,F318)</f>
        <v>479</v>
      </c>
      <c r="M318" s="206"/>
      <c r="N318" s="9"/>
      <c r="O318" s="9"/>
      <c r="P318" s="9"/>
      <c r="Q318" s="9"/>
      <c r="R318" s="9"/>
      <c r="S318" s="9"/>
      <c r="T318" s="9"/>
      <c r="U318" s="9"/>
      <c r="V318" s="9"/>
      <c r="W318" s="9"/>
      <c r="X318" s="9"/>
      <c r="Y318" s="9"/>
      <c r="Z318" s="9"/>
      <c r="AA318" s="9"/>
      <c r="AB318" s="9"/>
      <c r="AC318" s="9"/>
      <c r="AD318" s="9"/>
      <c r="AE318" s="9"/>
      <c r="AF318" s="9"/>
      <c r="AG318" s="9"/>
      <c r="AH318" s="9"/>
      <c r="AI318" s="9"/>
      <c r="AJ318" s="9"/>
      <c r="AK318" s="9"/>
    </row>
    <row r="319" spans="1:37" s="10" customFormat="1" ht="12.6" outlineLevel="1" thickBot="1" x14ac:dyDescent="0.25">
      <c r="A319" s="282"/>
      <c r="B319" s="274"/>
      <c r="C319" s="256"/>
      <c r="D319" s="259"/>
      <c r="E319" s="292"/>
      <c r="F319" s="259"/>
      <c r="G319" s="58" t="s">
        <v>69</v>
      </c>
      <c r="H319" s="72" t="s">
        <v>40</v>
      </c>
      <c r="I319" s="75">
        <f>D318*15</f>
        <v>15</v>
      </c>
      <c r="J319" s="59">
        <v>1</v>
      </c>
      <c r="K319" s="60">
        <f t="shared" ref="K319:K320" si="68">J319*I319</f>
        <v>15</v>
      </c>
      <c r="L319" s="359"/>
      <c r="M319" s="206"/>
      <c r="N319" s="9"/>
      <c r="O319" s="9"/>
      <c r="P319" s="9"/>
      <c r="Q319" s="9"/>
      <c r="R319" s="9"/>
      <c r="S319" s="9"/>
      <c r="T319" s="9"/>
      <c r="U319" s="9"/>
      <c r="V319" s="9"/>
      <c r="W319" s="9"/>
      <c r="X319" s="9"/>
      <c r="Y319" s="9"/>
      <c r="Z319" s="9"/>
      <c r="AA319" s="9"/>
      <c r="AB319" s="9"/>
      <c r="AC319" s="9"/>
      <c r="AD319" s="9"/>
      <c r="AE319" s="9"/>
      <c r="AF319" s="9"/>
      <c r="AG319" s="9"/>
      <c r="AH319" s="9"/>
      <c r="AI319" s="9"/>
      <c r="AJ319" s="9"/>
      <c r="AK319" s="9"/>
    </row>
    <row r="320" spans="1:37" s="4" customFormat="1" ht="12.6" outlineLevel="1" thickBot="1" x14ac:dyDescent="0.3">
      <c r="A320" s="32">
        <v>20</v>
      </c>
      <c r="B320" s="33" t="s">
        <v>327</v>
      </c>
      <c r="C320" s="63" t="s">
        <v>14</v>
      </c>
      <c r="D320" s="35">
        <v>1</v>
      </c>
      <c r="E320" s="36">
        <v>200</v>
      </c>
      <c r="F320" s="35">
        <f>E320*D320</f>
        <v>200</v>
      </c>
      <c r="G320" s="42" t="s">
        <v>328</v>
      </c>
      <c r="H320" s="47" t="s">
        <v>23</v>
      </c>
      <c r="I320" s="45">
        <f>D320*0.05</f>
        <v>0.05</v>
      </c>
      <c r="J320" s="44">
        <v>65</v>
      </c>
      <c r="K320" s="46">
        <f t="shared" si="68"/>
        <v>3.25</v>
      </c>
      <c r="L320" s="39">
        <f>SUM(K320,F320)</f>
        <v>203.25</v>
      </c>
      <c r="M320" s="206"/>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1:37" s="4" customFormat="1" ht="12.6" thickBot="1" x14ac:dyDescent="0.3">
      <c r="A321" s="222" t="s">
        <v>445</v>
      </c>
      <c r="B321" s="223"/>
      <c r="C321" s="223"/>
      <c r="D321" s="223"/>
      <c r="E321" s="223"/>
      <c r="F321" s="150">
        <f>SUM(F251:F320)</f>
        <v>5525</v>
      </c>
      <c r="G321" s="235" t="s">
        <v>444</v>
      </c>
      <c r="H321" s="236"/>
      <c r="I321" s="236"/>
      <c r="J321" s="237"/>
      <c r="K321" s="152">
        <f>SUM(K251:K320)</f>
        <v>4224.416666666667</v>
      </c>
      <c r="L321" s="156"/>
      <c r="M321" s="206"/>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1:37" s="4" customFormat="1" ht="12.6" thickBot="1" x14ac:dyDescent="0.3">
      <c r="A322" s="142"/>
      <c r="B322" s="117"/>
      <c r="C322" s="24"/>
      <c r="D322" s="25"/>
      <c r="E322" s="127"/>
      <c r="F322" s="25"/>
      <c r="G322" s="244" t="s">
        <v>446</v>
      </c>
      <c r="H322" s="244"/>
      <c r="I322" s="244"/>
      <c r="J322" s="244"/>
      <c r="K322" s="245"/>
      <c r="L322" s="153">
        <f>SUM(L251:L320)</f>
        <v>9749.4166666666661</v>
      </c>
      <c r="M322" s="206"/>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1:37" s="4" customFormat="1" x14ac:dyDescent="0.25">
      <c r="A323" s="142"/>
      <c r="B323" s="117"/>
      <c r="C323" s="24"/>
      <c r="D323" s="25"/>
      <c r="E323" s="127"/>
      <c r="F323" s="25"/>
      <c r="G323" s="134"/>
      <c r="H323" s="135"/>
      <c r="I323" s="136"/>
      <c r="J323" s="137"/>
      <c r="K323" s="138"/>
      <c r="L323" s="146"/>
      <c r="M323" s="206"/>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1:37" ht="15" customHeight="1" thickBot="1" x14ac:dyDescent="0.35">
      <c r="A324" s="246" t="s">
        <v>115</v>
      </c>
      <c r="B324" s="247"/>
      <c r="C324" s="247"/>
      <c r="D324" s="247"/>
      <c r="E324" s="247"/>
      <c r="F324" s="247"/>
      <c r="G324" s="247"/>
      <c r="H324" s="247"/>
      <c r="I324" s="247"/>
      <c r="J324" s="247"/>
      <c r="K324" s="247"/>
      <c r="L324" s="248"/>
      <c r="M324" s="211"/>
    </row>
    <row r="325" spans="1:37" s="4" customFormat="1" outlineLevel="1" x14ac:dyDescent="0.25">
      <c r="A325" s="289">
        <v>1</v>
      </c>
      <c r="B325" s="251" t="s">
        <v>134</v>
      </c>
      <c r="C325" s="297" t="s">
        <v>14</v>
      </c>
      <c r="D325" s="293">
        <v>1</v>
      </c>
      <c r="E325" s="295">
        <v>75</v>
      </c>
      <c r="F325" s="293">
        <f t="shared" ref="F325:F371" si="69">E325*D325</f>
        <v>75</v>
      </c>
      <c r="G325" s="56" t="s">
        <v>181</v>
      </c>
      <c r="H325" s="70" t="s">
        <v>14</v>
      </c>
      <c r="I325" s="73">
        <f>D325*1.1</f>
        <v>1.1000000000000001</v>
      </c>
      <c r="J325" s="76">
        <v>9</v>
      </c>
      <c r="K325" s="73">
        <f t="shared" ref="K325:K331" si="70">I325*J325</f>
        <v>9.9</v>
      </c>
      <c r="L325" s="269">
        <f>SUM(K325:K326,F325)</f>
        <v>145.4</v>
      </c>
      <c r="M325" s="206"/>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1:37" s="4" customFormat="1" ht="12.6" outlineLevel="1" thickBot="1" x14ac:dyDescent="0.3">
      <c r="A326" s="290"/>
      <c r="B326" s="253"/>
      <c r="C326" s="298"/>
      <c r="D326" s="294"/>
      <c r="E326" s="296"/>
      <c r="F326" s="294"/>
      <c r="G326" s="58" t="s">
        <v>329</v>
      </c>
      <c r="H326" s="72" t="s">
        <v>14</v>
      </c>
      <c r="I326" s="75">
        <f>D325*1.1</f>
        <v>1.1000000000000001</v>
      </c>
      <c r="J326" s="77">
        <v>55</v>
      </c>
      <c r="K326" s="75">
        <f t="shared" si="70"/>
        <v>60.500000000000007</v>
      </c>
      <c r="L326" s="271"/>
      <c r="M326" s="206"/>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1:37" s="4" customFormat="1" outlineLevel="1" x14ac:dyDescent="0.25">
      <c r="A327" s="289">
        <v>2</v>
      </c>
      <c r="B327" s="251" t="s">
        <v>135</v>
      </c>
      <c r="C327" s="297" t="s">
        <v>14</v>
      </c>
      <c r="D327" s="293">
        <v>1</v>
      </c>
      <c r="E327" s="295">
        <v>75</v>
      </c>
      <c r="F327" s="293">
        <f t="shared" ref="F327" si="71">E327*D327</f>
        <v>75</v>
      </c>
      <c r="G327" s="56" t="s">
        <v>181</v>
      </c>
      <c r="H327" s="70" t="s">
        <v>14</v>
      </c>
      <c r="I327" s="73">
        <f>D327*1.1</f>
        <v>1.1000000000000001</v>
      </c>
      <c r="J327" s="76">
        <v>9</v>
      </c>
      <c r="K327" s="73">
        <f t="shared" si="70"/>
        <v>9.9</v>
      </c>
      <c r="L327" s="269">
        <f>SUM(K327:K328,F327)</f>
        <v>126.7</v>
      </c>
      <c r="M327" s="206"/>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1:37" s="4" customFormat="1" ht="12.6" outlineLevel="1" thickBot="1" x14ac:dyDescent="0.3">
      <c r="A328" s="290"/>
      <c r="B328" s="253"/>
      <c r="C328" s="298"/>
      <c r="D328" s="294"/>
      <c r="E328" s="296"/>
      <c r="F328" s="294"/>
      <c r="G328" s="58" t="s">
        <v>182</v>
      </c>
      <c r="H328" s="72" t="s">
        <v>14</v>
      </c>
      <c r="I328" s="75">
        <f>D327*1.1</f>
        <v>1.1000000000000001</v>
      </c>
      <c r="J328" s="77">
        <v>38</v>
      </c>
      <c r="K328" s="75">
        <f t="shared" si="70"/>
        <v>41.800000000000004</v>
      </c>
      <c r="L328" s="271"/>
      <c r="M328" s="206"/>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1:37" s="40" customFormat="1" outlineLevel="1" x14ac:dyDescent="0.2">
      <c r="A329" s="289">
        <v>3</v>
      </c>
      <c r="B329" s="251" t="s">
        <v>332</v>
      </c>
      <c r="C329" s="297" t="s">
        <v>14</v>
      </c>
      <c r="D329" s="293">
        <v>1</v>
      </c>
      <c r="E329" s="295">
        <v>100</v>
      </c>
      <c r="F329" s="293">
        <f t="shared" ref="F329" si="72">E329*D329</f>
        <v>100</v>
      </c>
      <c r="G329" s="56" t="s">
        <v>333</v>
      </c>
      <c r="H329" s="70" t="s">
        <v>14</v>
      </c>
      <c r="I329" s="73">
        <f>D329/2</f>
        <v>0.5</v>
      </c>
      <c r="J329" s="76">
        <v>370</v>
      </c>
      <c r="K329" s="73">
        <f t="shared" si="70"/>
        <v>185</v>
      </c>
      <c r="L329" s="269">
        <f>SUM(K329:K330,F329)</f>
        <v>326.8</v>
      </c>
      <c r="M329" s="206"/>
    </row>
    <row r="330" spans="1:37" s="40" customFormat="1" ht="14.25" customHeight="1" outlineLevel="1" thickBot="1" x14ac:dyDescent="0.25">
      <c r="A330" s="290"/>
      <c r="B330" s="253"/>
      <c r="C330" s="298"/>
      <c r="D330" s="294"/>
      <c r="E330" s="296"/>
      <c r="F330" s="294"/>
      <c r="G330" s="58" t="s">
        <v>180</v>
      </c>
      <c r="H330" s="72" t="s">
        <v>14</v>
      </c>
      <c r="I330" s="75">
        <f>D329*1.1</f>
        <v>1.1000000000000001</v>
      </c>
      <c r="J330" s="77">
        <v>38</v>
      </c>
      <c r="K330" s="75">
        <f t="shared" si="70"/>
        <v>41.800000000000004</v>
      </c>
      <c r="L330" s="271"/>
      <c r="M330" s="206"/>
    </row>
    <row r="331" spans="1:37" s="4" customFormat="1" ht="12.6" outlineLevel="1" thickBot="1" x14ac:dyDescent="0.3">
      <c r="A331" s="32">
        <v>4</v>
      </c>
      <c r="B331" s="33" t="s">
        <v>136</v>
      </c>
      <c r="C331" s="63" t="s">
        <v>14</v>
      </c>
      <c r="D331" s="35">
        <v>1</v>
      </c>
      <c r="E331" s="36">
        <v>20</v>
      </c>
      <c r="F331" s="35">
        <f t="shared" si="69"/>
        <v>20</v>
      </c>
      <c r="G331" s="37" t="s">
        <v>137</v>
      </c>
      <c r="H331" s="63" t="s">
        <v>14</v>
      </c>
      <c r="I331" s="35">
        <f>D331*1.1</f>
        <v>1.1000000000000001</v>
      </c>
      <c r="J331" s="36">
        <v>10</v>
      </c>
      <c r="K331" s="35">
        <f t="shared" si="70"/>
        <v>11</v>
      </c>
      <c r="L331" s="39">
        <f>SUM(K331,F331)</f>
        <v>31</v>
      </c>
      <c r="M331" s="206"/>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s="4" customFormat="1" outlineLevel="1" x14ac:dyDescent="0.25">
      <c r="A332" s="281">
        <v>5</v>
      </c>
      <c r="B332" s="272" t="s">
        <v>330</v>
      </c>
      <c r="C332" s="254" t="s">
        <v>14</v>
      </c>
      <c r="D332" s="257">
        <v>1</v>
      </c>
      <c r="E332" s="260">
        <v>120</v>
      </c>
      <c r="F332" s="257">
        <f>E332*D332</f>
        <v>120</v>
      </c>
      <c r="G332" s="56" t="s">
        <v>159</v>
      </c>
      <c r="H332" s="70" t="s">
        <v>40</v>
      </c>
      <c r="I332" s="73">
        <f>D332*0.15</f>
        <v>0.15</v>
      </c>
      <c r="J332" s="57">
        <v>900</v>
      </c>
      <c r="K332" s="73">
        <f>J332*I332</f>
        <v>135</v>
      </c>
      <c r="L332" s="357">
        <f>SUM(K332:K333,F332)</f>
        <v>258</v>
      </c>
      <c r="M332" s="206"/>
      <c r="N332" s="23"/>
      <c r="O332" s="24"/>
      <c r="P332" s="25"/>
      <c r="Q332" s="25"/>
      <c r="R332" s="25"/>
      <c r="S332" s="3"/>
      <c r="T332" s="3"/>
      <c r="U332" s="3"/>
      <c r="V332" s="3"/>
      <c r="W332" s="3"/>
      <c r="X332" s="3"/>
      <c r="Y332" s="3"/>
      <c r="Z332" s="3"/>
      <c r="AA332" s="3"/>
      <c r="AB332" s="3"/>
      <c r="AC332" s="3"/>
      <c r="AD332" s="3"/>
      <c r="AE332" s="3"/>
      <c r="AF332" s="3"/>
      <c r="AG332" s="3"/>
      <c r="AH332" s="3"/>
      <c r="AI332" s="3"/>
      <c r="AJ332" s="3"/>
      <c r="AK332" s="3"/>
    </row>
    <row r="333" spans="1:37" s="4" customFormat="1" ht="12.6" outlineLevel="1" thickBot="1" x14ac:dyDescent="0.3">
      <c r="A333" s="282"/>
      <c r="B333" s="274"/>
      <c r="C333" s="256"/>
      <c r="D333" s="259"/>
      <c r="E333" s="262"/>
      <c r="F333" s="259"/>
      <c r="G333" s="58" t="s">
        <v>160</v>
      </c>
      <c r="H333" s="72" t="s">
        <v>11</v>
      </c>
      <c r="I333" s="75">
        <f>D332</f>
        <v>1</v>
      </c>
      <c r="J333" s="59">
        <v>3</v>
      </c>
      <c r="K333" s="75">
        <f>J333*I333</f>
        <v>3</v>
      </c>
      <c r="L333" s="359"/>
      <c r="M333" s="206"/>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s="4" customFormat="1" outlineLevel="1" x14ac:dyDescent="0.25">
      <c r="A334" s="289">
        <v>6</v>
      </c>
      <c r="B334" s="251" t="s">
        <v>138</v>
      </c>
      <c r="C334" s="297" t="s">
        <v>14</v>
      </c>
      <c r="D334" s="293">
        <v>1</v>
      </c>
      <c r="E334" s="295">
        <v>75</v>
      </c>
      <c r="F334" s="293">
        <f t="shared" ref="F334" si="73">E334*D334</f>
        <v>75</v>
      </c>
      <c r="G334" s="56" t="s">
        <v>181</v>
      </c>
      <c r="H334" s="70" t="s">
        <v>14</v>
      </c>
      <c r="I334" s="73">
        <f>D334*1.1</f>
        <v>1.1000000000000001</v>
      </c>
      <c r="J334" s="76">
        <v>9</v>
      </c>
      <c r="K334" s="73">
        <f t="shared" ref="K334:K339" si="74">I334*J334</f>
        <v>9.9</v>
      </c>
      <c r="L334" s="269">
        <f>SUM(K334:K335,F334)</f>
        <v>102.5</v>
      </c>
      <c r="M334" s="206"/>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s="4" customFormat="1" ht="12.6" outlineLevel="1" thickBot="1" x14ac:dyDescent="0.3">
      <c r="A335" s="290"/>
      <c r="B335" s="253"/>
      <c r="C335" s="298"/>
      <c r="D335" s="294"/>
      <c r="E335" s="296"/>
      <c r="F335" s="294"/>
      <c r="G335" s="58" t="s">
        <v>183</v>
      </c>
      <c r="H335" s="72" t="s">
        <v>14</v>
      </c>
      <c r="I335" s="75">
        <f>D334*1.1</f>
        <v>1.1000000000000001</v>
      </c>
      <c r="J335" s="77">
        <v>16</v>
      </c>
      <c r="K335" s="75">
        <f t="shared" si="74"/>
        <v>17.600000000000001</v>
      </c>
      <c r="L335" s="271"/>
      <c r="M335" s="206"/>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s="4" customFormat="1" outlineLevel="1" x14ac:dyDescent="0.25">
      <c r="A336" s="289">
        <v>7</v>
      </c>
      <c r="B336" s="251" t="s">
        <v>345</v>
      </c>
      <c r="C336" s="297" t="s">
        <v>14</v>
      </c>
      <c r="D336" s="293">
        <v>1</v>
      </c>
      <c r="E336" s="295">
        <v>75</v>
      </c>
      <c r="F336" s="293">
        <f t="shared" ref="F336" si="75">E336*D336</f>
        <v>75</v>
      </c>
      <c r="G336" s="56" t="s">
        <v>181</v>
      </c>
      <c r="H336" s="70" t="s">
        <v>14</v>
      </c>
      <c r="I336" s="73">
        <f>D336*1.1</f>
        <v>1.1000000000000001</v>
      </c>
      <c r="J336" s="76">
        <v>9</v>
      </c>
      <c r="K336" s="73">
        <f t="shared" si="74"/>
        <v>9.9</v>
      </c>
      <c r="L336" s="269">
        <f>SUM(K336:K337,F336)</f>
        <v>95.9</v>
      </c>
      <c r="M336" s="206"/>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s="4" customFormat="1" ht="12.6" outlineLevel="1" thickBot="1" x14ac:dyDescent="0.3">
      <c r="A337" s="290"/>
      <c r="B337" s="253"/>
      <c r="C337" s="298"/>
      <c r="D337" s="294"/>
      <c r="E337" s="296"/>
      <c r="F337" s="294"/>
      <c r="G337" s="58" t="s">
        <v>346</v>
      </c>
      <c r="H337" s="72" t="s">
        <v>14</v>
      </c>
      <c r="I337" s="75">
        <f>D336*1.1</f>
        <v>1.1000000000000001</v>
      </c>
      <c r="J337" s="77">
        <v>10</v>
      </c>
      <c r="K337" s="75">
        <f t="shared" si="74"/>
        <v>11</v>
      </c>
      <c r="L337" s="271"/>
      <c r="M337" s="206"/>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s="4" customFormat="1" outlineLevel="1" x14ac:dyDescent="0.25">
      <c r="A338" s="289">
        <v>8</v>
      </c>
      <c r="B338" s="251" t="s">
        <v>347</v>
      </c>
      <c r="C338" s="297" t="s">
        <v>14</v>
      </c>
      <c r="D338" s="293">
        <v>1</v>
      </c>
      <c r="E338" s="295">
        <v>75</v>
      </c>
      <c r="F338" s="293">
        <f t="shared" ref="F338" si="76">E338*D338</f>
        <v>75</v>
      </c>
      <c r="G338" s="56" t="s">
        <v>181</v>
      </c>
      <c r="H338" s="70" t="s">
        <v>14</v>
      </c>
      <c r="I338" s="73">
        <f>D338*1.1</f>
        <v>1.1000000000000001</v>
      </c>
      <c r="J338" s="76">
        <v>9</v>
      </c>
      <c r="K338" s="73">
        <f t="shared" si="74"/>
        <v>9.9</v>
      </c>
      <c r="L338" s="269">
        <f>SUM(K338:K339,F338)</f>
        <v>106.9</v>
      </c>
      <c r="M338" s="206"/>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s="4" customFormat="1" ht="12.6" outlineLevel="1" thickBot="1" x14ac:dyDescent="0.3">
      <c r="A339" s="290"/>
      <c r="B339" s="253"/>
      <c r="C339" s="298"/>
      <c r="D339" s="294"/>
      <c r="E339" s="296"/>
      <c r="F339" s="294"/>
      <c r="G339" s="58" t="s">
        <v>348</v>
      </c>
      <c r="H339" s="72" t="s">
        <v>14</v>
      </c>
      <c r="I339" s="75">
        <f>D338*1.1</f>
        <v>1.1000000000000001</v>
      </c>
      <c r="J339" s="77">
        <v>20</v>
      </c>
      <c r="K339" s="75">
        <f t="shared" si="74"/>
        <v>22</v>
      </c>
      <c r="L339" s="271"/>
      <c r="M339" s="206"/>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s="4" customFormat="1" ht="12.6" outlineLevel="1" thickBot="1" x14ac:dyDescent="0.3">
      <c r="A340" s="32">
        <v>9</v>
      </c>
      <c r="B340" s="33" t="s">
        <v>139</v>
      </c>
      <c r="C340" s="63" t="s">
        <v>14</v>
      </c>
      <c r="D340" s="35">
        <v>1</v>
      </c>
      <c r="E340" s="36">
        <v>110</v>
      </c>
      <c r="F340" s="35">
        <f>E340*D340</f>
        <v>110</v>
      </c>
      <c r="G340" s="37" t="s">
        <v>169</v>
      </c>
      <c r="H340" s="63" t="s">
        <v>14</v>
      </c>
      <c r="I340" s="35">
        <f t="shared" ref="I340:I341" si="77">D340*1.01</f>
        <v>1.01</v>
      </c>
      <c r="J340" s="36">
        <v>250</v>
      </c>
      <c r="K340" s="35">
        <f t="shared" ref="K340:K371" si="78">I340*J340</f>
        <v>252.5</v>
      </c>
      <c r="L340" s="39">
        <f t="shared" ref="L340:L361" si="79">SUM(K340,F340)</f>
        <v>362.5</v>
      </c>
      <c r="M340" s="206"/>
      <c r="N340" s="3"/>
      <c r="O340" s="3"/>
      <c r="P340" s="3"/>
      <c r="Q340" s="3"/>
      <c r="R340" s="3"/>
      <c r="S340" s="3"/>
      <c r="T340" s="3"/>
      <c r="U340" s="3"/>
      <c r="V340" s="3"/>
      <c r="W340" s="3"/>
      <c r="X340" s="3"/>
      <c r="Y340" s="3"/>
      <c r="Z340" s="3"/>
      <c r="AA340" s="3"/>
      <c r="AB340" s="3"/>
      <c r="AC340" s="3"/>
      <c r="AD340" s="3"/>
      <c r="AE340" s="3"/>
      <c r="AF340" s="3"/>
      <c r="AG340" s="3"/>
      <c r="AH340" s="3"/>
      <c r="AI340" s="3"/>
    </row>
    <row r="341" spans="1:37" s="4" customFormat="1" ht="12.6" outlineLevel="1" thickBot="1" x14ac:dyDescent="0.3">
      <c r="A341" s="32">
        <v>10</v>
      </c>
      <c r="B341" s="33" t="s">
        <v>140</v>
      </c>
      <c r="C341" s="63" t="s">
        <v>14</v>
      </c>
      <c r="D341" s="111">
        <v>1</v>
      </c>
      <c r="E341" s="64">
        <v>80</v>
      </c>
      <c r="F341" s="35">
        <f>E341*D341</f>
        <v>80</v>
      </c>
      <c r="G341" s="37" t="s">
        <v>331</v>
      </c>
      <c r="H341" s="63" t="s">
        <v>14</v>
      </c>
      <c r="I341" s="35">
        <f t="shared" si="77"/>
        <v>1.01</v>
      </c>
      <c r="J341" s="36">
        <v>50</v>
      </c>
      <c r="K341" s="35">
        <f t="shared" si="78"/>
        <v>50.5</v>
      </c>
      <c r="L341" s="39">
        <f t="shared" si="79"/>
        <v>130.5</v>
      </c>
      <c r="M341" s="206"/>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s="26" customFormat="1" ht="12.6" outlineLevel="1" thickBot="1" x14ac:dyDescent="0.3">
      <c r="A342" s="32">
        <v>11</v>
      </c>
      <c r="B342" s="33" t="s">
        <v>141</v>
      </c>
      <c r="C342" s="63" t="s">
        <v>40</v>
      </c>
      <c r="D342" s="111">
        <v>1</v>
      </c>
      <c r="E342" s="64">
        <v>250</v>
      </c>
      <c r="F342" s="35">
        <f t="shared" si="69"/>
        <v>250</v>
      </c>
      <c r="G342" s="37" t="s">
        <v>142</v>
      </c>
      <c r="H342" s="63" t="s">
        <v>40</v>
      </c>
      <c r="I342" s="35">
        <f>D342*1</f>
        <v>1</v>
      </c>
      <c r="J342" s="36">
        <v>200</v>
      </c>
      <c r="K342" s="35">
        <f t="shared" si="78"/>
        <v>200</v>
      </c>
      <c r="L342" s="39">
        <f t="shared" si="79"/>
        <v>450</v>
      </c>
      <c r="M342" s="206"/>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row>
    <row r="343" spans="1:37" s="26" customFormat="1" ht="12.6" outlineLevel="1" thickBot="1" x14ac:dyDescent="0.3">
      <c r="A343" s="32">
        <v>12</v>
      </c>
      <c r="B343" s="33" t="s">
        <v>150</v>
      </c>
      <c r="C343" s="63" t="s">
        <v>40</v>
      </c>
      <c r="D343" s="111">
        <v>1</v>
      </c>
      <c r="E343" s="64">
        <v>50</v>
      </c>
      <c r="F343" s="35">
        <f>E343*D343</f>
        <v>50</v>
      </c>
      <c r="G343" s="37" t="s">
        <v>151</v>
      </c>
      <c r="H343" s="63" t="s">
        <v>40</v>
      </c>
      <c r="I343" s="35">
        <f>D343*1</f>
        <v>1</v>
      </c>
      <c r="J343" s="36">
        <v>12</v>
      </c>
      <c r="K343" s="35">
        <f>I343*J343</f>
        <v>12</v>
      </c>
      <c r="L343" s="39">
        <f t="shared" si="79"/>
        <v>62</v>
      </c>
      <c r="M343" s="206"/>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row>
    <row r="344" spans="1:37" s="26" customFormat="1" ht="24.6" outlineLevel="1" thickBot="1" x14ac:dyDescent="0.3">
      <c r="A344" s="32">
        <v>13</v>
      </c>
      <c r="B344" s="33" t="s">
        <v>143</v>
      </c>
      <c r="C344" s="63" t="s">
        <v>40</v>
      </c>
      <c r="D344" s="111">
        <v>1</v>
      </c>
      <c r="E344" s="64">
        <v>250</v>
      </c>
      <c r="F344" s="35">
        <f t="shared" si="69"/>
        <v>250</v>
      </c>
      <c r="G344" s="37" t="s">
        <v>144</v>
      </c>
      <c r="H344" s="63" t="s">
        <v>40</v>
      </c>
      <c r="I344" s="35">
        <f t="shared" ref="I344:I371" si="80">D344*1</f>
        <v>1</v>
      </c>
      <c r="J344" s="36">
        <v>350</v>
      </c>
      <c r="K344" s="35">
        <f t="shared" si="78"/>
        <v>350</v>
      </c>
      <c r="L344" s="39">
        <f t="shared" si="79"/>
        <v>600</v>
      </c>
      <c r="M344" s="206"/>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row>
    <row r="345" spans="1:37" s="26" customFormat="1" ht="24.6" outlineLevel="1" thickBot="1" x14ac:dyDescent="0.3">
      <c r="A345" s="32">
        <v>14</v>
      </c>
      <c r="B345" s="33" t="s">
        <v>145</v>
      </c>
      <c r="C345" s="63" t="s">
        <v>40</v>
      </c>
      <c r="D345" s="111">
        <v>1</v>
      </c>
      <c r="E345" s="64">
        <v>250</v>
      </c>
      <c r="F345" s="35">
        <f t="shared" si="69"/>
        <v>250</v>
      </c>
      <c r="G345" s="37" t="s">
        <v>144</v>
      </c>
      <c r="H345" s="63" t="s">
        <v>40</v>
      </c>
      <c r="I345" s="35">
        <f t="shared" si="80"/>
        <v>1</v>
      </c>
      <c r="J345" s="36">
        <v>420</v>
      </c>
      <c r="K345" s="35">
        <f t="shared" si="78"/>
        <v>420</v>
      </c>
      <c r="L345" s="39">
        <f t="shared" si="79"/>
        <v>670</v>
      </c>
      <c r="M345" s="206"/>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row>
    <row r="346" spans="1:37" s="26" customFormat="1" ht="24.6" outlineLevel="1" thickBot="1" x14ac:dyDescent="0.3">
      <c r="A346" s="32">
        <v>15</v>
      </c>
      <c r="B346" s="33" t="s">
        <v>167</v>
      </c>
      <c r="C346" s="63" t="s">
        <v>40</v>
      </c>
      <c r="D346" s="111">
        <v>1</v>
      </c>
      <c r="E346" s="64">
        <v>250</v>
      </c>
      <c r="F346" s="35">
        <f t="shared" ref="F346" si="81">E346*D346</f>
        <v>250</v>
      </c>
      <c r="G346" s="37" t="s">
        <v>168</v>
      </c>
      <c r="H346" s="63" t="s">
        <v>40</v>
      </c>
      <c r="I346" s="35">
        <f>D346*1</f>
        <v>1</v>
      </c>
      <c r="J346" s="36">
        <v>350</v>
      </c>
      <c r="K346" s="35">
        <f t="shared" ref="K346" si="82">I346*J346</f>
        <v>350</v>
      </c>
      <c r="L346" s="39">
        <f t="shared" si="79"/>
        <v>600</v>
      </c>
      <c r="M346" s="206"/>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row>
    <row r="347" spans="1:37" s="26" customFormat="1" ht="24.6" outlineLevel="1" thickBot="1" x14ac:dyDescent="0.3">
      <c r="A347" s="32">
        <v>16</v>
      </c>
      <c r="B347" s="33" t="s">
        <v>166</v>
      </c>
      <c r="C347" s="63" t="s">
        <v>40</v>
      </c>
      <c r="D347" s="111">
        <v>1</v>
      </c>
      <c r="E347" s="64">
        <v>250</v>
      </c>
      <c r="F347" s="35">
        <f t="shared" si="69"/>
        <v>250</v>
      </c>
      <c r="G347" s="37" t="s">
        <v>146</v>
      </c>
      <c r="H347" s="63" t="s">
        <v>40</v>
      </c>
      <c r="I347" s="35">
        <f t="shared" si="80"/>
        <v>1</v>
      </c>
      <c r="J347" s="36">
        <v>350</v>
      </c>
      <c r="K347" s="35">
        <f t="shared" si="78"/>
        <v>350</v>
      </c>
      <c r="L347" s="39">
        <f t="shared" si="79"/>
        <v>600</v>
      </c>
      <c r="M347" s="206"/>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row>
    <row r="348" spans="1:37" s="26" customFormat="1" ht="12.6" outlineLevel="1" thickBot="1" x14ac:dyDescent="0.3">
      <c r="A348" s="32">
        <v>17</v>
      </c>
      <c r="B348" s="33" t="s">
        <v>147</v>
      </c>
      <c r="C348" s="63" t="s">
        <v>40</v>
      </c>
      <c r="D348" s="111">
        <v>1</v>
      </c>
      <c r="E348" s="64">
        <v>350</v>
      </c>
      <c r="F348" s="35">
        <f t="shared" si="69"/>
        <v>350</v>
      </c>
      <c r="G348" s="37" t="s">
        <v>148</v>
      </c>
      <c r="H348" s="63" t="s">
        <v>40</v>
      </c>
      <c r="I348" s="35">
        <f t="shared" si="80"/>
        <v>1</v>
      </c>
      <c r="J348" s="36">
        <v>420</v>
      </c>
      <c r="K348" s="35">
        <f t="shared" si="78"/>
        <v>420</v>
      </c>
      <c r="L348" s="39">
        <f t="shared" si="79"/>
        <v>770</v>
      </c>
      <c r="M348" s="206"/>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row>
    <row r="349" spans="1:37" s="26" customFormat="1" ht="12.6" outlineLevel="1" thickBot="1" x14ac:dyDescent="0.3">
      <c r="A349" s="32">
        <v>18</v>
      </c>
      <c r="B349" s="33" t="s">
        <v>149</v>
      </c>
      <c r="C349" s="63" t="s">
        <v>40</v>
      </c>
      <c r="D349" s="111">
        <v>1</v>
      </c>
      <c r="E349" s="64">
        <v>350</v>
      </c>
      <c r="F349" s="35">
        <f t="shared" ref="F349" si="83">E349*D349</f>
        <v>350</v>
      </c>
      <c r="G349" s="37" t="s">
        <v>334</v>
      </c>
      <c r="H349" s="63" t="s">
        <v>40</v>
      </c>
      <c r="I349" s="35">
        <f t="shared" ref="I349" si="84">D349*1</f>
        <v>1</v>
      </c>
      <c r="J349" s="36">
        <v>380</v>
      </c>
      <c r="K349" s="35">
        <f t="shared" ref="K349" si="85">I349*J349</f>
        <v>380</v>
      </c>
      <c r="L349" s="39">
        <f t="shared" si="79"/>
        <v>730</v>
      </c>
      <c r="M349" s="206"/>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row>
    <row r="350" spans="1:37" s="26" customFormat="1" ht="12.6" outlineLevel="1" thickBot="1" x14ac:dyDescent="0.3">
      <c r="A350" s="32">
        <v>19</v>
      </c>
      <c r="B350" s="33" t="s">
        <v>349</v>
      </c>
      <c r="C350" s="63" t="s">
        <v>40</v>
      </c>
      <c r="D350" s="111">
        <v>1</v>
      </c>
      <c r="E350" s="64">
        <v>350</v>
      </c>
      <c r="F350" s="35">
        <f t="shared" si="69"/>
        <v>350</v>
      </c>
      <c r="G350" s="37" t="s">
        <v>350</v>
      </c>
      <c r="H350" s="63" t="s">
        <v>40</v>
      </c>
      <c r="I350" s="35">
        <f t="shared" si="80"/>
        <v>1</v>
      </c>
      <c r="J350" s="36">
        <v>380</v>
      </c>
      <c r="K350" s="35">
        <f t="shared" si="78"/>
        <v>380</v>
      </c>
      <c r="L350" s="39">
        <f t="shared" si="79"/>
        <v>730</v>
      </c>
      <c r="M350" s="206"/>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row>
    <row r="351" spans="1:37" s="4" customFormat="1" ht="24.6" outlineLevel="1" thickBot="1" x14ac:dyDescent="0.3">
      <c r="A351" s="32">
        <v>20</v>
      </c>
      <c r="B351" s="33" t="s">
        <v>152</v>
      </c>
      <c r="C351" s="63" t="s">
        <v>40</v>
      </c>
      <c r="D351" s="35">
        <v>1</v>
      </c>
      <c r="E351" s="36">
        <v>1500</v>
      </c>
      <c r="F351" s="35">
        <f t="shared" ref="F351" si="86">E351*D351</f>
        <v>1500</v>
      </c>
      <c r="G351" s="37" t="s">
        <v>343</v>
      </c>
      <c r="H351" s="63" t="s">
        <v>40</v>
      </c>
      <c r="I351" s="35">
        <f t="shared" ref="I351" si="87">D351*1</f>
        <v>1</v>
      </c>
      <c r="J351" s="36">
        <v>2200</v>
      </c>
      <c r="K351" s="35">
        <f t="shared" ref="K351" si="88">I351*J351</f>
        <v>2200</v>
      </c>
      <c r="L351" s="39">
        <f t="shared" si="79"/>
        <v>3700</v>
      </c>
      <c r="M351" s="206"/>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s="4" customFormat="1" ht="12.6" outlineLevel="1" thickBot="1" x14ac:dyDescent="0.3">
      <c r="A352" s="32">
        <v>21</v>
      </c>
      <c r="B352" s="33" t="s">
        <v>342</v>
      </c>
      <c r="C352" s="63" t="s">
        <v>40</v>
      </c>
      <c r="D352" s="35">
        <v>1</v>
      </c>
      <c r="E352" s="36">
        <v>1200</v>
      </c>
      <c r="F352" s="35">
        <f t="shared" si="69"/>
        <v>1200</v>
      </c>
      <c r="G352" s="37" t="s">
        <v>344</v>
      </c>
      <c r="H352" s="63" t="s">
        <v>40</v>
      </c>
      <c r="I352" s="35">
        <f t="shared" si="80"/>
        <v>1</v>
      </c>
      <c r="J352" s="36">
        <v>1200</v>
      </c>
      <c r="K352" s="35">
        <f t="shared" si="78"/>
        <v>1200</v>
      </c>
      <c r="L352" s="39">
        <f t="shared" si="79"/>
        <v>2400</v>
      </c>
      <c r="M352" s="206"/>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s="4" customFormat="1" ht="24.6" outlineLevel="1" thickBot="1" x14ac:dyDescent="0.3">
      <c r="A353" s="32">
        <v>22</v>
      </c>
      <c r="B353" s="33" t="s">
        <v>163</v>
      </c>
      <c r="C353" s="63" t="s">
        <v>40</v>
      </c>
      <c r="D353" s="35">
        <v>1</v>
      </c>
      <c r="E353" s="36">
        <v>500</v>
      </c>
      <c r="F353" s="35">
        <f t="shared" ref="F353" si="89">E353*D353</f>
        <v>500</v>
      </c>
      <c r="G353" s="37" t="s">
        <v>162</v>
      </c>
      <c r="H353" s="63" t="s">
        <v>40</v>
      </c>
      <c r="I353" s="35">
        <f t="shared" si="80"/>
        <v>1</v>
      </c>
      <c r="J353" s="36">
        <v>400</v>
      </c>
      <c r="K353" s="35">
        <f t="shared" ref="K353" si="90">I353*J353</f>
        <v>400</v>
      </c>
      <c r="L353" s="39">
        <f t="shared" si="79"/>
        <v>900</v>
      </c>
      <c r="M353" s="206"/>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s="4" customFormat="1" ht="24.6" outlineLevel="1" thickBot="1" x14ac:dyDescent="0.3">
      <c r="A354" s="32">
        <v>23</v>
      </c>
      <c r="B354" s="33" t="s">
        <v>161</v>
      </c>
      <c r="C354" s="63" t="s">
        <v>40</v>
      </c>
      <c r="D354" s="35">
        <v>1</v>
      </c>
      <c r="E354" s="36">
        <v>300</v>
      </c>
      <c r="F354" s="35">
        <f t="shared" ref="F354" si="91">E354*D354</f>
        <v>300</v>
      </c>
      <c r="G354" s="37" t="s">
        <v>164</v>
      </c>
      <c r="H354" s="63" t="s">
        <v>40</v>
      </c>
      <c r="I354" s="35">
        <f t="shared" si="80"/>
        <v>1</v>
      </c>
      <c r="J354" s="36">
        <v>250</v>
      </c>
      <c r="K354" s="35">
        <f t="shared" ref="K354" si="92">I354*J354</f>
        <v>250</v>
      </c>
      <c r="L354" s="39">
        <f t="shared" si="79"/>
        <v>550</v>
      </c>
      <c r="M354" s="206"/>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s="4" customFormat="1" ht="24.6" outlineLevel="1" thickBot="1" x14ac:dyDescent="0.3">
      <c r="A355" s="32">
        <v>24</v>
      </c>
      <c r="B355" s="33" t="s">
        <v>336</v>
      </c>
      <c r="C355" s="63" t="s">
        <v>40</v>
      </c>
      <c r="D355" s="35">
        <v>1</v>
      </c>
      <c r="E355" s="36">
        <v>400</v>
      </c>
      <c r="F355" s="35">
        <f t="shared" ref="F355" si="93">E355*D355</f>
        <v>400</v>
      </c>
      <c r="G355" s="37" t="s">
        <v>335</v>
      </c>
      <c r="H355" s="63" t="s">
        <v>40</v>
      </c>
      <c r="I355" s="35">
        <f t="shared" si="80"/>
        <v>1</v>
      </c>
      <c r="J355" s="36">
        <v>1800</v>
      </c>
      <c r="K355" s="35">
        <f t="shared" ref="K355" si="94">I355*J355</f>
        <v>1800</v>
      </c>
      <c r="L355" s="39">
        <f t="shared" si="79"/>
        <v>2200</v>
      </c>
      <c r="M355" s="206"/>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s="4" customFormat="1" ht="24.6" outlineLevel="1" thickBot="1" x14ac:dyDescent="0.3">
      <c r="A356" s="32">
        <v>25</v>
      </c>
      <c r="B356" s="33" t="s">
        <v>337</v>
      </c>
      <c r="C356" s="63" t="s">
        <v>40</v>
      </c>
      <c r="D356" s="35">
        <v>1</v>
      </c>
      <c r="E356" s="36">
        <v>600</v>
      </c>
      <c r="F356" s="35">
        <f t="shared" ref="F356:F359" si="95">E356*D356</f>
        <v>600</v>
      </c>
      <c r="G356" s="37" t="s">
        <v>338</v>
      </c>
      <c r="H356" s="63" t="s">
        <v>40</v>
      </c>
      <c r="I356" s="35">
        <f t="shared" ref="I356:I359" si="96">D356*1</f>
        <v>1</v>
      </c>
      <c r="J356" s="36">
        <v>2800</v>
      </c>
      <c r="K356" s="35">
        <f t="shared" ref="K356:K359" si="97">I356*J356</f>
        <v>2800</v>
      </c>
      <c r="L356" s="39">
        <f t="shared" si="79"/>
        <v>3400</v>
      </c>
      <c r="M356" s="206"/>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s="40" customFormat="1" ht="24.6" outlineLevel="1" thickBot="1" x14ac:dyDescent="0.25">
      <c r="A357" s="32">
        <v>26</v>
      </c>
      <c r="B357" s="33" t="s">
        <v>356</v>
      </c>
      <c r="C357" s="63" t="s">
        <v>40</v>
      </c>
      <c r="D357" s="35">
        <v>1</v>
      </c>
      <c r="E357" s="36">
        <v>700</v>
      </c>
      <c r="F357" s="35">
        <f t="shared" ref="F357" si="98">E357*D357</f>
        <v>700</v>
      </c>
      <c r="G357" s="37" t="s">
        <v>357</v>
      </c>
      <c r="H357" s="63" t="s">
        <v>40</v>
      </c>
      <c r="I357" s="35">
        <f t="shared" ref="I357" si="99">D357*1</f>
        <v>1</v>
      </c>
      <c r="J357" s="36">
        <v>1500</v>
      </c>
      <c r="K357" s="35">
        <f t="shared" ref="K357" si="100">I357*J357</f>
        <v>1500</v>
      </c>
      <c r="L357" s="39">
        <f t="shared" si="79"/>
        <v>2200</v>
      </c>
      <c r="M357" s="206"/>
    </row>
    <row r="358" spans="1:37" s="40" customFormat="1" ht="24.6" outlineLevel="1" thickBot="1" x14ac:dyDescent="0.25">
      <c r="A358" s="32">
        <v>27</v>
      </c>
      <c r="B358" s="33" t="s">
        <v>358</v>
      </c>
      <c r="C358" s="63" t="s">
        <v>40</v>
      </c>
      <c r="D358" s="35">
        <v>1</v>
      </c>
      <c r="E358" s="36">
        <v>700</v>
      </c>
      <c r="F358" s="35">
        <f t="shared" si="95"/>
        <v>700</v>
      </c>
      <c r="G358" s="37" t="s">
        <v>359</v>
      </c>
      <c r="H358" s="63" t="s">
        <v>40</v>
      </c>
      <c r="I358" s="35">
        <f t="shared" si="96"/>
        <v>1</v>
      </c>
      <c r="J358" s="36">
        <v>1000</v>
      </c>
      <c r="K358" s="35">
        <f t="shared" si="97"/>
        <v>1000</v>
      </c>
      <c r="L358" s="39">
        <f t="shared" si="79"/>
        <v>1700</v>
      </c>
      <c r="M358" s="206"/>
    </row>
    <row r="359" spans="1:37" s="4" customFormat="1" ht="24.6" outlineLevel="1" thickBot="1" x14ac:dyDescent="0.3">
      <c r="A359" s="32">
        <v>28</v>
      </c>
      <c r="B359" s="33" t="s">
        <v>339</v>
      </c>
      <c r="C359" s="63" t="s">
        <v>40</v>
      </c>
      <c r="D359" s="35">
        <v>1</v>
      </c>
      <c r="E359" s="36">
        <v>800</v>
      </c>
      <c r="F359" s="35">
        <f t="shared" si="95"/>
        <v>800</v>
      </c>
      <c r="G359" s="37" t="s">
        <v>165</v>
      </c>
      <c r="H359" s="63" t="s">
        <v>40</v>
      </c>
      <c r="I359" s="35">
        <f t="shared" si="96"/>
        <v>1</v>
      </c>
      <c r="J359" s="36">
        <v>1800</v>
      </c>
      <c r="K359" s="35">
        <f t="shared" si="97"/>
        <v>1800</v>
      </c>
      <c r="L359" s="39">
        <f t="shared" si="79"/>
        <v>2600</v>
      </c>
      <c r="M359" s="206"/>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s="4" customFormat="1" ht="24.6" outlineLevel="1" thickBot="1" x14ac:dyDescent="0.3">
      <c r="A360" s="32">
        <v>29</v>
      </c>
      <c r="B360" s="33" t="s">
        <v>179</v>
      </c>
      <c r="C360" s="63" t="s">
        <v>40</v>
      </c>
      <c r="D360" s="35">
        <v>1</v>
      </c>
      <c r="E360" s="36">
        <v>1300</v>
      </c>
      <c r="F360" s="35">
        <f t="shared" ref="F360" si="101">E360*D360</f>
        <v>1300</v>
      </c>
      <c r="G360" s="37" t="s">
        <v>165</v>
      </c>
      <c r="H360" s="63" t="s">
        <v>40</v>
      </c>
      <c r="I360" s="35">
        <f t="shared" si="80"/>
        <v>1</v>
      </c>
      <c r="J360" s="36">
        <v>3200</v>
      </c>
      <c r="K360" s="35">
        <f t="shared" ref="K360" si="102">I360*J360</f>
        <v>3200</v>
      </c>
      <c r="L360" s="39">
        <f t="shared" si="79"/>
        <v>4500</v>
      </c>
      <c r="M360" s="206"/>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s="4" customFormat="1" ht="24.6" outlineLevel="1" thickBot="1" x14ac:dyDescent="0.3">
      <c r="A361" s="32">
        <v>30</v>
      </c>
      <c r="B361" s="33" t="s">
        <v>153</v>
      </c>
      <c r="C361" s="63" t="s">
        <v>40</v>
      </c>
      <c r="D361" s="35">
        <v>1</v>
      </c>
      <c r="E361" s="36">
        <v>300</v>
      </c>
      <c r="F361" s="35">
        <f>E361*D361</f>
        <v>300</v>
      </c>
      <c r="G361" s="33" t="s">
        <v>340</v>
      </c>
      <c r="H361" s="34" t="s">
        <v>40</v>
      </c>
      <c r="I361" s="35">
        <f t="shared" si="80"/>
        <v>1</v>
      </c>
      <c r="J361" s="36">
        <v>150</v>
      </c>
      <c r="K361" s="35">
        <f t="shared" si="78"/>
        <v>150</v>
      </c>
      <c r="L361" s="39">
        <f t="shared" si="79"/>
        <v>450</v>
      </c>
      <c r="M361" s="206"/>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s="40" customFormat="1" ht="14.25" customHeight="1" outlineLevel="1" x14ac:dyDescent="0.2">
      <c r="A362" s="289">
        <v>31</v>
      </c>
      <c r="B362" s="251" t="s">
        <v>355</v>
      </c>
      <c r="C362" s="297" t="s">
        <v>14</v>
      </c>
      <c r="D362" s="396">
        <v>1</v>
      </c>
      <c r="E362" s="398">
        <v>250</v>
      </c>
      <c r="F362" s="293">
        <f t="shared" ref="F362" si="103">E362*D362</f>
        <v>250</v>
      </c>
      <c r="G362" s="94" t="s">
        <v>351</v>
      </c>
      <c r="H362" s="96" t="s">
        <v>352</v>
      </c>
      <c r="I362" s="73">
        <f>D362*1</f>
        <v>1</v>
      </c>
      <c r="J362" s="76">
        <v>250</v>
      </c>
      <c r="K362" s="73">
        <f>I362*J362</f>
        <v>250</v>
      </c>
      <c r="L362" s="400">
        <f>SUM(K362:K363,F362)</f>
        <v>740</v>
      </c>
      <c r="M362" s="208"/>
    </row>
    <row r="363" spans="1:37" s="40" customFormat="1" ht="15" customHeight="1" outlineLevel="1" thickBot="1" x14ac:dyDescent="0.25">
      <c r="A363" s="393"/>
      <c r="B363" s="394"/>
      <c r="C363" s="395"/>
      <c r="D363" s="397"/>
      <c r="E363" s="399"/>
      <c r="F363" s="294"/>
      <c r="G363" s="95" t="s">
        <v>353</v>
      </c>
      <c r="H363" s="97" t="s">
        <v>354</v>
      </c>
      <c r="I363" s="75">
        <v>0.2</v>
      </c>
      <c r="J363" s="77">
        <v>1200</v>
      </c>
      <c r="K363" s="75">
        <f t="shared" si="78"/>
        <v>240</v>
      </c>
      <c r="L363" s="401"/>
      <c r="M363" s="208"/>
    </row>
    <row r="364" spans="1:37" s="40" customFormat="1" ht="14.25" customHeight="1" outlineLevel="1" x14ac:dyDescent="0.2">
      <c r="A364" s="289">
        <v>32</v>
      </c>
      <c r="B364" s="251" t="s">
        <v>360</v>
      </c>
      <c r="C364" s="297" t="s">
        <v>40</v>
      </c>
      <c r="D364" s="396">
        <v>1</v>
      </c>
      <c r="E364" s="398">
        <v>600</v>
      </c>
      <c r="F364" s="293">
        <f t="shared" ref="F364" si="104">E364*D364</f>
        <v>600</v>
      </c>
      <c r="G364" s="94" t="s">
        <v>361</v>
      </c>
      <c r="H364" s="96" t="s">
        <v>352</v>
      </c>
      <c r="I364" s="73">
        <f>D364*1</f>
        <v>1</v>
      </c>
      <c r="J364" s="76">
        <v>5000</v>
      </c>
      <c r="K364" s="73">
        <f>I364*J364</f>
        <v>5000</v>
      </c>
      <c r="L364" s="400">
        <f>SUM(K364:K365,F364)</f>
        <v>5720</v>
      </c>
      <c r="M364" s="208"/>
    </row>
    <row r="365" spans="1:37" s="40" customFormat="1" ht="15" customHeight="1" outlineLevel="1" thickBot="1" x14ac:dyDescent="0.25">
      <c r="A365" s="393"/>
      <c r="B365" s="394"/>
      <c r="C365" s="395"/>
      <c r="D365" s="397"/>
      <c r="E365" s="399"/>
      <c r="F365" s="294"/>
      <c r="G365" s="95" t="s">
        <v>362</v>
      </c>
      <c r="H365" s="97" t="s">
        <v>354</v>
      </c>
      <c r="I365" s="75">
        <f>D364</f>
        <v>1</v>
      </c>
      <c r="J365" s="77">
        <v>120</v>
      </c>
      <c r="K365" s="75">
        <f t="shared" ref="K365" si="105">I365*J365</f>
        <v>120</v>
      </c>
      <c r="L365" s="401"/>
      <c r="M365" s="208"/>
    </row>
    <row r="366" spans="1:37" s="4" customFormat="1" ht="24.6" outlineLevel="1" thickBot="1" x14ac:dyDescent="0.3">
      <c r="A366" s="32">
        <v>33</v>
      </c>
      <c r="B366" s="33" t="s">
        <v>154</v>
      </c>
      <c r="C366" s="63" t="s">
        <v>40</v>
      </c>
      <c r="D366" s="35">
        <v>1</v>
      </c>
      <c r="E366" s="36">
        <v>500</v>
      </c>
      <c r="F366" s="35">
        <f>E366*D366</f>
        <v>500</v>
      </c>
      <c r="G366" s="33" t="s">
        <v>170</v>
      </c>
      <c r="H366" s="34" t="s">
        <v>40</v>
      </c>
      <c r="I366" s="35">
        <f t="shared" si="80"/>
        <v>1</v>
      </c>
      <c r="J366" s="36">
        <v>750</v>
      </c>
      <c r="K366" s="35">
        <f t="shared" si="78"/>
        <v>750</v>
      </c>
      <c r="L366" s="39">
        <f t="shared" ref="L366:L372" si="106">SUM(K366,F366)</f>
        <v>1250</v>
      </c>
      <c r="M366" s="206"/>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7" s="4" customFormat="1" ht="24.6" outlineLevel="1" thickBot="1" x14ac:dyDescent="0.3">
      <c r="A367" s="32">
        <v>34</v>
      </c>
      <c r="B367" s="33" t="s">
        <v>155</v>
      </c>
      <c r="C367" s="63" t="s">
        <v>40</v>
      </c>
      <c r="D367" s="35">
        <v>1</v>
      </c>
      <c r="E367" s="36">
        <v>600</v>
      </c>
      <c r="F367" s="35">
        <f>E367*D367</f>
        <v>600</v>
      </c>
      <c r="G367" s="33" t="s">
        <v>156</v>
      </c>
      <c r="H367" s="34" t="s">
        <v>40</v>
      </c>
      <c r="I367" s="35">
        <f t="shared" ref="I367" si="107">D367*1</f>
        <v>1</v>
      </c>
      <c r="J367" s="36">
        <v>1600</v>
      </c>
      <c r="K367" s="35">
        <f t="shared" ref="K367" si="108">I367*J367</f>
        <v>1600</v>
      </c>
      <c r="L367" s="39">
        <f t="shared" si="106"/>
        <v>2200</v>
      </c>
      <c r="M367" s="206"/>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1:37" s="4" customFormat="1" ht="12.6" outlineLevel="1" thickBot="1" x14ac:dyDescent="0.3">
      <c r="A368" s="32">
        <v>35</v>
      </c>
      <c r="B368" s="33" t="s">
        <v>363</v>
      </c>
      <c r="C368" s="63" t="s">
        <v>40</v>
      </c>
      <c r="D368" s="35">
        <v>1</v>
      </c>
      <c r="E368" s="36">
        <v>2200</v>
      </c>
      <c r="F368" s="35">
        <f>E368*D368</f>
        <v>2200</v>
      </c>
      <c r="G368" s="33" t="s">
        <v>364</v>
      </c>
      <c r="H368" s="34" t="s">
        <v>40</v>
      </c>
      <c r="I368" s="35">
        <f t="shared" si="80"/>
        <v>1</v>
      </c>
      <c r="J368" s="36">
        <v>6000</v>
      </c>
      <c r="K368" s="35">
        <f t="shared" si="78"/>
        <v>6000</v>
      </c>
      <c r="L368" s="39">
        <f t="shared" si="106"/>
        <v>8200</v>
      </c>
      <c r="M368" s="206"/>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1:37" s="4" customFormat="1" ht="14.25" customHeight="1" outlineLevel="1" thickBot="1" x14ac:dyDescent="0.3">
      <c r="A369" s="32">
        <v>36</v>
      </c>
      <c r="B369" s="33" t="s">
        <v>158</v>
      </c>
      <c r="C369" s="63" t="s">
        <v>12</v>
      </c>
      <c r="D369" s="35">
        <v>1</v>
      </c>
      <c r="E369" s="36">
        <v>150</v>
      </c>
      <c r="F369" s="35">
        <f>E369*D369</f>
        <v>150</v>
      </c>
      <c r="G369" s="37"/>
      <c r="H369" s="34"/>
      <c r="I369" s="35">
        <f>D369*1</f>
        <v>1</v>
      </c>
      <c r="J369" s="36"/>
      <c r="K369" s="35">
        <f>I369*J369</f>
        <v>0</v>
      </c>
      <c r="L369" s="39">
        <f t="shared" si="106"/>
        <v>150</v>
      </c>
      <c r="M369" s="206"/>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1:37" s="4" customFormat="1" ht="24.6" outlineLevel="1" thickBot="1" x14ac:dyDescent="0.3">
      <c r="A370" s="32">
        <v>37</v>
      </c>
      <c r="B370" s="33" t="s">
        <v>341</v>
      </c>
      <c r="C370" s="63" t="s">
        <v>117</v>
      </c>
      <c r="D370" s="35">
        <v>1</v>
      </c>
      <c r="E370" s="36">
        <v>15000</v>
      </c>
      <c r="F370" s="35">
        <f>E370*D370</f>
        <v>15000</v>
      </c>
      <c r="G370" s="37"/>
      <c r="H370" s="34"/>
      <c r="I370" s="34">
        <f>D370*1</f>
        <v>1</v>
      </c>
      <c r="J370" s="116"/>
      <c r="K370" s="35">
        <f>I370*J370</f>
        <v>0</v>
      </c>
      <c r="L370" s="39">
        <f t="shared" si="106"/>
        <v>15000</v>
      </c>
      <c r="M370" s="206"/>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1:37" s="4" customFormat="1" ht="36.6" outlineLevel="1" thickBot="1" x14ac:dyDescent="0.3">
      <c r="A371" s="32">
        <v>38</v>
      </c>
      <c r="B371" s="33" t="s">
        <v>157</v>
      </c>
      <c r="C371" s="63" t="s">
        <v>117</v>
      </c>
      <c r="D371" s="35">
        <v>1</v>
      </c>
      <c r="E371" s="36">
        <v>15000</v>
      </c>
      <c r="F371" s="35">
        <f t="shared" si="69"/>
        <v>15000</v>
      </c>
      <c r="G371" s="37"/>
      <c r="H371" s="34"/>
      <c r="I371" s="35">
        <f t="shared" si="80"/>
        <v>1</v>
      </c>
      <c r="J371" s="36"/>
      <c r="K371" s="35">
        <f t="shared" si="78"/>
        <v>0</v>
      </c>
      <c r="L371" s="39">
        <f t="shared" si="106"/>
        <v>15000</v>
      </c>
      <c r="M371" s="206"/>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1:37" s="4" customFormat="1" ht="12.6" thickBot="1" x14ac:dyDescent="0.3">
      <c r="A372" s="222" t="s">
        <v>445</v>
      </c>
      <c r="B372" s="223"/>
      <c r="C372" s="223"/>
      <c r="D372" s="223"/>
      <c r="E372" s="223"/>
      <c r="F372" s="150">
        <f>SUM(F325:F371)</f>
        <v>45755</v>
      </c>
      <c r="G372" s="229" t="s">
        <v>444</v>
      </c>
      <c r="H372" s="230"/>
      <c r="I372" s="230"/>
      <c r="J372" s="231"/>
      <c r="K372" s="150">
        <f>SUM(K325:K371)</f>
        <v>34003.199999999997</v>
      </c>
      <c r="L372" s="156">
        <f t="shared" si="106"/>
        <v>79758.2</v>
      </c>
      <c r="M372" s="206"/>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1:37" s="4" customFormat="1" ht="12.6" thickBot="1" x14ac:dyDescent="0.3">
      <c r="A373" s="142"/>
      <c r="B373" s="117"/>
      <c r="C373" s="24"/>
      <c r="D373" s="25"/>
      <c r="E373" s="127"/>
      <c r="F373" s="25"/>
      <c r="G373" s="242" t="s">
        <v>446</v>
      </c>
      <c r="H373" s="242"/>
      <c r="I373" s="242"/>
      <c r="J373" s="242"/>
      <c r="K373" s="243"/>
      <c r="L373" s="153">
        <f>SUM(L325:L372)</f>
        <v>159516.4</v>
      </c>
      <c r="M373" s="206"/>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1:37" s="4" customFormat="1" x14ac:dyDescent="0.25">
      <c r="A374" s="142"/>
      <c r="B374" s="117"/>
      <c r="C374" s="24"/>
      <c r="D374" s="25"/>
      <c r="E374" s="127"/>
      <c r="F374" s="25"/>
      <c r="G374" s="23"/>
      <c r="H374" s="126"/>
      <c r="I374" s="25"/>
      <c r="J374" s="127"/>
      <c r="K374" s="25"/>
      <c r="L374" s="146"/>
      <c r="M374" s="206"/>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1:37" ht="15" customHeight="1" thickBot="1" x14ac:dyDescent="0.35">
      <c r="A375" s="246" t="s">
        <v>365</v>
      </c>
      <c r="B375" s="247"/>
      <c r="C375" s="247"/>
      <c r="D375" s="247"/>
      <c r="E375" s="247"/>
      <c r="F375" s="247"/>
      <c r="G375" s="247"/>
      <c r="H375" s="247"/>
      <c r="I375" s="247"/>
      <c r="J375" s="247"/>
      <c r="K375" s="247"/>
      <c r="L375" s="248"/>
      <c r="M375" s="211"/>
    </row>
    <row r="376" spans="1:37" s="4" customFormat="1" outlineLevel="1" x14ac:dyDescent="0.25">
      <c r="A376" s="289">
        <v>1</v>
      </c>
      <c r="B376" s="251" t="s">
        <v>384</v>
      </c>
      <c r="C376" s="297" t="s">
        <v>14</v>
      </c>
      <c r="D376" s="293">
        <v>1</v>
      </c>
      <c r="E376" s="295">
        <v>150</v>
      </c>
      <c r="F376" s="293">
        <f t="shared" ref="F376" si="109">E376*D376</f>
        <v>150</v>
      </c>
      <c r="G376" s="56" t="s">
        <v>159</v>
      </c>
      <c r="H376" s="70" t="s">
        <v>40</v>
      </c>
      <c r="I376" s="73">
        <f>D376*0.15</f>
        <v>0.15</v>
      </c>
      <c r="J376" s="57">
        <v>900</v>
      </c>
      <c r="K376" s="73">
        <f>J376*I376</f>
        <v>135</v>
      </c>
      <c r="L376" s="269">
        <f>SUM(K376:K377,F376)</f>
        <v>288</v>
      </c>
      <c r="M376" s="206"/>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spans="1:37" s="4" customFormat="1" ht="12.6" outlineLevel="1" thickBot="1" x14ac:dyDescent="0.3">
      <c r="A377" s="290"/>
      <c r="B377" s="253"/>
      <c r="C377" s="298"/>
      <c r="D377" s="294"/>
      <c r="E377" s="296"/>
      <c r="F377" s="294"/>
      <c r="G377" s="58" t="s">
        <v>160</v>
      </c>
      <c r="H377" s="72" t="s">
        <v>11</v>
      </c>
      <c r="I377" s="75">
        <f>D376</f>
        <v>1</v>
      </c>
      <c r="J377" s="59">
        <v>3</v>
      </c>
      <c r="K377" s="75">
        <f>J377*I377</f>
        <v>3</v>
      </c>
      <c r="L377" s="271"/>
      <c r="M377" s="206"/>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spans="1:37" s="4" customFormat="1" outlineLevel="1" x14ac:dyDescent="0.25">
      <c r="A378" s="289">
        <v>2</v>
      </c>
      <c r="B378" s="251" t="s">
        <v>366</v>
      </c>
      <c r="C378" s="297" t="s">
        <v>14</v>
      </c>
      <c r="D378" s="293">
        <v>1</v>
      </c>
      <c r="E378" s="295">
        <v>120</v>
      </c>
      <c r="F378" s="293">
        <f t="shared" ref="F378" si="110">E378*D378</f>
        <v>120</v>
      </c>
      <c r="G378" s="56" t="s">
        <v>369</v>
      </c>
      <c r="H378" s="70" t="s">
        <v>14</v>
      </c>
      <c r="I378" s="73">
        <f>D378*1</f>
        <v>1</v>
      </c>
      <c r="J378" s="76">
        <v>90</v>
      </c>
      <c r="K378" s="73">
        <f t="shared" ref="K378:K401" si="111">I378*J378</f>
        <v>90</v>
      </c>
      <c r="L378" s="269">
        <f>SUM(K378:K379,F378)</f>
        <v>260</v>
      </c>
      <c r="M378" s="206"/>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spans="1:37" s="4" customFormat="1" ht="12.6" outlineLevel="1" thickBot="1" x14ac:dyDescent="0.3">
      <c r="A379" s="290"/>
      <c r="B379" s="253"/>
      <c r="C379" s="298"/>
      <c r="D379" s="294"/>
      <c r="E379" s="296"/>
      <c r="F379" s="294"/>
      <c r="G379" s="58" t="s">
        <v>368</v>
      </c>
      <c r="H379" s="72" t="s">
        <v>40</v>
      </c>
      <c r="I379" s="75">
        <f>D378*1</f>
        <v>1</v>
      </c>
      <c r="J379" s="77">
        <v>50</v>
      </c>
      <c r="K379" s="75">
        <f t="shared" si="111"/>
        <v>50</v>
      </c>
      <c r="L379" s="271"/>
      <c r="M379" s="206"/>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spans="1:37" s="4" customFormat="1" outlineLevel="1" x14ac:dyDescent="0.25">
      <c r="A380" s="289">
        <v>3</v>
      </c>
      <c r="B380" s="251" t="s">
        <v>375</v>
      </c>
      <c r="C380" s="297" t="s">
        <v>14</v>
      </c>
      <c r="D380" s="293">
        <v>1</v>
      </c>
      <c r="E380" s="295">
        <v>130</v>
      </c>
      <c r="F380" s="293">
        <f t="shared" ref="F380" si="112">E380*D380</f>
        <v>130</v>
      </c>
      <c r="G380" s="56" t="s">
        <v>369</v>
      </c>
      <c r="H380" s="70" t="s">
        <v>14</v>
      </c>
      <c r="I380" s="73">
        <f>D380*1</f>
        <v>1</v>
      </c>
      <c r="J380" s="76">
        <v>115</v>
      </c>
      <c r="K380" s="73">
        <f t="shared" si="111"/>
        <v>115</v>
      </c>
      <c r="L380" s="269">
        <f>SUM(K380:K381,F380)</f>
        <v>305</v>
      </c>
      <c r="M380" s="206"/>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spans="1:37" s="4" customFormat="1" ht="12.6" outlineLevel="1" thickBot="1" x14ac:dyDescent="0.3">
      <c r="A381" s="290"/>
      <c r="B381" s="253"/>
      <c r="C381" s="298"/>
      <c r="D381" s="294"/>
      <c r="E381" s="296"/>
      <c r="F381" s="294"/>
      <c r="G381" s="58" t="s">
        <v>368</v>
      </c>
      <c r="H381" s="72" t="s">
        <v>40</v>
      </c>
      <c r="I381" s="75">
        <f>D380*1</f>
        <v>1</v>
      </c>
      <c r="J381" s="77">
        <v>60</v>
      </c>
      <c r="K381" s="75">
        <f t="shared" si="111"/>
        <v>60</v>
      </c>
      <c r="L381" s="271"/>
      <c r="M381" s="206"/>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spans="1:37" s="4" customFormat="1" outlineLevel="1" x14ac:dyDescent="0.25">
      <c r="A382" s="289">
        <v>4</v>
      </c>
      <c r="B382" s="251" t="s">
        <v>376</v>
      </c>
      <c r="C382" s="297" t="s">
        <v>14</v>
      </c>
      <c r="D382" s="293">
        <v>1</v>
      </c>
      <c r="E382" s="295">
        <v>140</v>
      </c>
      <c r="F382" s="293">
        <f t="shared" ref="F382" si="113">E382*D382</f>
        <v>140</v>
      </c>
      <c r="G382" s="56" t="s">
        <v>369</v>
      </c>
      <c r="H382" s="70" t="s">
        <v>14</v>
      </c>
      <c r="I382" s="73">
        <f>D382*1</f>
        <v>1</v>
      </c>
      <c r="J382" s="76">
        <v>160</v>
      </c>
      <c r="K382" s="73">
        <f t="shared" si="111"/>
        <v>160</v>
      </c>
      <c r="L382" s="269">
        <f>SUM(K382:K383,F382)</f>
        <v>375</v>
      </c>
      <c r="M382" s="206"/>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spans="1:37" s="4" customFormat="1" ht="12.6" outlineLevel="1" thickBot="1" x14ac:dyDescent="0.3">
      <c r="A383" s="290"/>
      <c r="B383" s="253"/>
      <c r="C383" s="298"/>
      <c r="D383" s="294"/>
      <c r="E383" s="296"/>
      <c r="F383" s="294"/>
      <c r="G383" s="58" t="s">
        <v>368</v>
      </c>
      <c r="H383" s="72" t="s">
        <v>40</v>
      </c>
      <c r="I383" s="75">
        <f>D382*1</f>
        <v>1</v>
      </c>
      <c r="J383" s="77">
        <v>75</v>
      </c>
      <c r="K383" s="75">
        <f t="shared" si="111"/>
        <v>75</v>
      </c>
      <c r="L383" s="271"/>
      <c r="M383" s="206"/>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spans="1:37" s="40" customFormat="1" outlineLevel="1" x14ac:dyDescent="0.2">
      <c r="A384" s="289">
        <v>5</v>
      </c>
      <c r="B384" s="251" t="s">
        <v>367</v>
      </c>
      <c r="C384" s="297" t="s">
        <v>14</v>
      </c>
      <c r="D384" s="293">
        <v>1</v>
      </c>
      <c r="E384" s="295">
        <v>80</v>
      </c>
      <c r="F384" s="293">
        <f t="shared" ref="F384" si="114">E384*D384</f>
        <v>80</v>
      </c>
      <c r="G384" s="56" t="s">
        <v>370</v>
      </c>
      <c r="H384" s="70" t="s">
        <v>14</v>
      </c>
      <c r="I384" s="73">
        <f>D384</f>
        <v>1</v>
      </c>
      <c r="J384" s="76">
        <v>90</v>
      </c>
      <c r="K384" s="73">
        <f t="shared" si="111"/>
        <v>90</v>
      </c>
      <c r="L384" s="269">
        <f>SUM(K384:K385,F384)</f>
        <v>220</v>
      </c>
      <c r="M384" s="206"/>
    </row>
    <row r="385" spans="1:13" s="40" customFormat="1" ht="14.25" customHeight="1" outlineLevel="1" thickBot="1" x14ac:dyDescent="0.25">
      <c r="A385" s="290"/>
      <c r="B385" s="253"/>
      <c r="C385" s="298"/>
      <c r="D385" s="294"/>
      <c r="E385" s="296"/>
      <c r="F385" s="294"/>
      <c r="G385" s="58" t="s">
        <v>368</v>
      </c>
      <c r="H385" s="72" t="s">
        <v>40</v>
      </c>
      <c r="I385" s="75">
        <f>D384*1</f>
        <v>1</v>
      </c>
      <c r="J385" s="77">
        <v>50</v>
      </c>
      <c r="K385" s="75">
        <f t="shared" si="111"/>
        <v>50</v>
      </c>
      <c r="L385" s="271"/>
      <c r="M385" s="206"/>
    </row>
    <row r="386" spans="1:13" s="40" customFormat="1" outlineLevel="1" x14ac:dyDescent="0.2">
      <c r="A386" s="289">
        <v>6</v>
      </c>
      <c r="B386" s="251" t="s">
        <v>377</v>
      </c>
      <c r="C386" s="297" t="s">
        <v>14</v>
      </c>
      <c r="D386" s="293">
        <v>1</v>
      </c>
      <c r="E386" s="295">
        <v>85</v>
      </c>
      <c r="F386" s="293">
        <f t="shared" ref="F386" si="115">E386*D386</f>
        <v>85</v>
      </c>
      <c r="G386" s="56" t="s">
        <v>370</v>
      </c>
      <c r="H386" s="70" t="s">
        <v>14</v>
      </c>
      <c r="I386" s="73">
        <f>D386</f>
        <v>1</v>
      </c>
      <c r="J386" s="76">
        <v>110</v>
      </c>
      <c r="K386" s="73">
        <f t="shared" si="111"/>
        <v>110</v>
      </c>
      <c r="L386" s="269">
        <f>SUM(K386:K387,F386)</f>
        <v>255</v>
      </c>
      <c r="M386" s="206"/>
    </row>
    <row r="387" spans="1:13" s="40" customFormat="1" ht="14.25" customHeight="1" outlineLevel="1" thickBot="1" x14ac:dyDescent="0.25">
      <c r="A387" s="290"/>
      <c r="B387" s="253"/>
      <c r="C387" s="298"/>
      <c r="D387" s="294"/>
      <c r="E387" s="296"/>
      <c r="F387" s="294"/>
      <c r="G387" s="58" t="s">
        <v>368</v>
      </c>
      <c r="H387" s="72" t="s">
        <v>40</v>
      </c>
      <c r="I387" s="75">
        <f>D386*1</f>
        <v>1</v>
      </c>
      <c r="J387" s="77">
        <v>60</v>
      </c>
      <c r="K387" s="75">
        <f t="shared" si="111"/>
        <v>60</v>
      </c>
      <c r="L387" s="271"/>
      <c r="M387" s="206"/>
    </row>
    <row r="388" spans="1:13" s="40" customFormat="1" outlineLevel="1" x14ac:dyDescent="0.2">
      <c r="A388" s="289">
        <v>7</v>
      </c>
      <c r="B388" s="251" t="s">
        <v>378</v>
      </c>
      <c r="C388" s="297" t="s">
        <v>14</v>
      </c>
      <c r="D388" s="293">
        <v>1</v>
      </c>
      <c r="E388" s="295">
        <v>90</v>
      </c>
      <c r="F388" s="293">
        <f t="shared" ref="F388" si="116">E388*D388</f>
        <v>90</v>
      </c>
      <c r="G388" s="56" t="s">
        <v>370</v>
      </c>
      <c r="H388" s="70" t="s">
        <v>14</v>
      </c>
      <c r="I388" s="73">
        <f>D388</f>
        <v>1</v>
      </c>
      <c r="J388" s="76">
        <v>130</v>
      </c>
      <c r="K388" s="73">
        <f t="shared" si="111"/>
        <v>130</v>
      </c>
      <c r="L388" s="269">
        <f>SUM(K388:K389,F388)</f>
        <v>290</v>
      </c>
      <c r="M388" s="206"/>
    </row>
    <row r="389" spans="1:13" s="40" customFormat="1" ht="14.25" customHeight="1" outlineLevel="1" thickBot="1" x14ac:dyDescent="0.25">
      <c r="A389" s="290"/>
      <c r="B389" s="253"/>
      <c r="C389" s="298"/>
      <c r="D389" s="294"/>
      <c r="E389" s="296"/>
      <c r="F389" s="294"/>
      <c r="G389" s="58" t="s">
        <v>368</v>
      </c>
      <c r="H389" s="72" t="s">
        <v>40</v>
      </c>
      <c r="I389" s="75">
        <f>D388*1</f>
        <v>1</v>
      </c>
      <c r="J389" s="77">
        <v>70</v>
      </c>
      <c r="K389" s="75">
        <f t="shared" si="111"/>
        <v>70</v>
      </c>
      <c r="L389" s="271"/>
      <c r="M389" s="206"/>
    </row>
    <row r="390" spans="1:13" s="40" customFormat="1" outlineLevel="1" x14ac:dyDescent="0.2">
      <c r="A390" s="289">
        <v>8</v>
      </c>
      <c r="B390" s="251" t="s">
        <v>371</v>
      </c>
      <c r="C390" s="297" t="s">
        <v>14</v>
      </c>
      <c r="D390" s="293">
        <v>1</v>
      </c>
      <c r="E390" s="295">
        <v>80</v>
      </c>
      <c r="F390" s="293">
        <f t="shared" ref="F390" si="117">E390*D390</f>
        <v>80</v>
      </c>
      <c r="G390" s="56" t="s">
        <v>372</v>
      </c>
      <c r="H390" s="70" t="s">
        <v>14</v>
      </c>
      <c r="I390" s="73">
        <f>D390</f>
        <v>1</v>
      </c>
      <c r="J390" s="76">
        <v>50</v>
      </c>
      <c r="K390" s="73">
        <f t="shared" si="111"/>
        <v>50</v>
      </c>
      <c r="L390" s="269">
        <f>SUM(K390:K391,F390)</f>
        <v>145</v>
      </c>
      <c r="M390" s="206"/>
    </row>
    <row r="391" spans="1:13" s="40" customFormat="1" ht="14.25" customHeight="1" outlineLevel="1" thickBot="1" x14ac:dyDescent="0.25">
      <c r="A391" s="290"/>
      <c r="B391" s="253"/>
      <c r="C391" s="298"/>
      <c r="D391" s="294"/>
      <c r="E391" s="296"/>
      <c r="F391" s="294"/>
      <c r="G391" s="58" t="s">
        <v>368</v>
      </c>
      <c r="H391" s="72" t="s">
        <v>40</v>
      </c>
      <c r="I391" s="75">
        <f>D390*1</f>
        <v>1</v>
      </c>
      <c r="J391" s="77">
        <v>15</v>
      </c>
      <c r="K391" s="75">
        <f t="shared" si="111"/>
        <v>15</v>
      </c>
      <c r="L391" s="271"/>
      <c r="M391" s="206"/>
    </row>
    <row r="392" spans="1:13" s="40" customFormat="1" outlineLevel="1" x14ac:dyDescent="0.2">
      <c r="A392" s="289">
        <v>9</v>
      </c>
      <c r="B392" s="251" t="s">
        <v>379</v>
      </c>
      <c r="C392" s="297" t="s">
        <v>14</v>
      </c>
      <c r="D392" s="293">
        <v>1</v>
      </c>
      <c r="E392" s="295">
        <v>85</v>
      </c>
      <c r="F392" s="293">
        <f t="shared" ref="F392" si="118">E392*D392</f>
        <v>85</v>
      </c>
      <c r="G392" s="56" t="s">
        <v>372</v>
      </c>
      <c r="H392" s="70" t="s">
        <v>14</v>
      </c>
      <c r="I392" s="73">
        <f>D392</f>
        <v>1</v>
      </c>
      <c r="J392" s="76">
        <v>70</v>
      </c>
      <c r="K392" s="73">
        <f t="shared" si="111"/>
        <v>70</v>
      </c>
      <c r="L392" s="269">
        <f>SUM(K392:K393,F392)</f>
        <v>175</v>
      </c>
      <c r="M392" s="206"/>
    </row>
    <row r="393" spans="1:13" s="40" customFormat="1" ht="14.25" customHeight="1" outlineLevel="1" thickBot="1" x14ac:dyDescent="0.25">
      <c r="A393" s="290"/>
      <c r="B393" s="253"/>
      <c r="C393" s="298"/>
      <c r="D393" s="294"/>
      <c r="E393" s="296"/>
      <c r="F393" s="294"/>
      <c r="G393" s="58" t="s">
        <v>368</v>
      </c>
      <c r="H393" s="72" t="s">
        <v>40</v>
      </c>
      <c r="I393" s="75">
        <f>D392*1</f>
        <v>1</v>
      </c>
      <c r="J393" s="77">
        <v>20</v>
      </c>
      <c r="K393" s="75">
        <f t="shared" si="111"/>
        <v>20</v>
      </c>
      <c r="L393" s="271"/>
      <c r="M393" s="206"/>
    </row>
    <row r="394" spans="1:13" s="40" customFormat="1" outlineLevel="1" x14ac:dyDescent="0.2">
      <c r="A394" s="289">
        <v>10</v>
      </c>
      <c r="B394" s="251" t="s">
        <v>380</v>
      </c>
      <c r="C394" s="297" t="s">
        <v>14</v>
      </c>
      <c r="D394" s="293">
        <v>1</v>
      </c>
      <c r="E394" s="295">
        <v>90</v>
      </c>
      <c r="F394" s="293">
        <f t="shared" ref="F394" si="119">E394*D394</f>
        <v>90</v>
      </c>
      <c r="G394" s="56" t="s">
        <v>372</v>
      </c>
      <c r="H394" s="70" t="s">
        <v>14</v>
      </c>
      <c r="I394" s="73">
        <f>D394</f>
        <v>1</v>
      </c>
      <c r="J394" s="76">
        <v>90</v>
      </c>
      <c r="K394" s="73">
        <f t="shared" si="111"/>
        <v>90</v>
      </c>
      <c r="L394" s="269">
        <f>SUM(K394:K395,F394)</f>
        <v>205</v>
      </c>
      <c r="M394" s="206"/>
    </row>
    <row r="395" spans="1:13" s="40" customFormat="1" ht="14.25" customHeight="1" outlineLevel="1" thickBot="1" x14ac:dyDescent="0.25">
      <c r="A395" s="290"/>
      <c r="B395" s="253"/>
      <c r="C395" s="298"/>
      <c r="D395" s="294"/>
      <c r="E395" s="296"/>
      <c r="F395" s="294"/>
      <c r="G395" s="58" t="s">
        <v>368</v>
      </c>
      <c r="H395" s="72" t="s">
        <v>40</v>
      </c>
      <c r="I395" s="75">
        <f>D394*1</f>
        <v>1</v>
      </c>
      <c r="J395" s="77">
        <v>25</v>
      </c>
      <c r="K395" s="75">
        <f t="shared" si="111"/>
        <v>25</v>
      </c>
      <c r="L395" s="271"/>
      <c r="M395" s="206"/>
    </row>
    <row r="396" spans="1:13" s="40" customFormat="1" outlineLevel="1" x14ac:dyDescent="0.2">
      <c r="A396" s="289">
        <v>11</v>
      </c>
      <c r="B396" s="251" t="s">
        <v>373</v>
      </c>
      <c r="C396" s="297" t="s">
        <v>14</v>
      </c>
      <c r="D396" s="293">
        <v>1</v>
      </c>
      <c r="E396" s="295">
        <v>80</v>
      </c>
      <c r="F396" s="293">
        <f t="shared" ref="F396" si="120">E396*D396</f>
        <v>80</v>
      </c>
      <c r="G396" s="56" t="s">
        <v>374</v>
      </c>
      <c r="H396" s="70" t="s">
        <v>14</v>
      </c>
      <c r="I396" s="73">
        <f>D396</f>
        <v>1</v>
      </c>
      <c r="J396" s="76">
        <v>90</v>
      </c>
      <c r="K396" s="73">
        <f t="shared" si="111"/>
        <v>90</v>
      </c>
      <c r="L396" s="269">
        <f>SUM(K396:K397,F396)</f>
        <v>220</v>
      </c>
      <c r="M396" s="206"/>
    </row>
    <row r="397" spans="1:13" s="40" customFormat="1" ht="14.25" customHeight="1" outlineLevel="1" thickBot="1" x14ac:dyDescent="0.25">
      <c r="A397" s="290"/>
      <c r="B397" s="253"/>
      <c r="C397" s="298"/>
      <c r="D397" s="294"/>
      <c r="E397" s="296"/>
      <c r="F397" s="294"/>
      <c r="G397" s="58" t="s">
        <v>368</v>
      </c>
      <c r="H397" s="72" t="s">
        <v>40</v>
      </c>
      <c r="I397" s="75">
        <f>D396*1</f>
        <v>1</v>
      </c>
      <c r="J397" s="77">
        <v>50</v>
      </c>
      <c r="K397" s="75">
        <f t="shared" si="111"/>
        <v>50</v>
      </c>
      <c r="L397" s="271"/>
      <c r="M397" s="206"/>
    </row>
    <row r="398" spans="1:13" s="40" customFormat="1" outlineLevel="1" x14ac:dyDescent="0.2">
      <c r="A398" s="289">
        <v>12</v>
      </c>
      <c r="B398" s="251" t="s">
        <v>381</v>
      </c>
      <c r="C398" s="297" t="s">
        <v>14</v>
      </c>
      <c r="D398" s="293">
        <v>1</v>
      </c>
      <c r="E398" s="295">
        <v>90</v>
      </c>
      <c r="F398" s="293">
        <f t="shared" ref="F398" si="121">E398*D398</f>
        <v>90</v>
      </c>
      <c r="G398" s="56" t="s">
        <v>374</v>
      </c>
      <c r="H398" s="70" t="s">
        <v>14</v>
      </c>
      <c r="I398" s="73">
        <f>D398</f>
        <v>1</v>
      </c>
      <c r="J398" s="76">
        <v>110</v>
      </c>
      <c r="K398" s="73">
        <f t="shared" si="111"/>
        <v>110</v>
      </c>
      <c r="L398" s="269">
        <f>SUM(K398:K399,F398)</f>
        <v>260</v>
      </c>
      <c r="M398" s="206"/>
    </row>
    <row r="399" spans="1:13" s="40" customFormat="1" ht="14.25" customHeight="1" outlineLevel="1" thickBot="1" x14ac:dyDescent="0.25">
      <c r="A399" s="290"/>
      <c r="B399" s="253"/>
      <c r="C399" s="298"/>
      <c r="D399" s="294"/>
      <c r="E399" s="296"/>
      <c r="F399" s="294"/>
      <c r="G399" s="58" t="s">
        <v>368</v>
      </c>
      <c r="H399" s="72" t="s">
        <v>40</v>
      </c>
      <c r="I399" s="75">
        <f>D398*1</f>
        <v>1</v>
      </c>
      <c r="J399" s="77">
        <v>60</v>
      </c>
      <c r="K399" s="75">
        <f t="shared" si="111"/>
        <v>60</v>
      </c>
      <c r="L399" s="271"/>
      <c r="M399" s="206"/>
    </row>
    <row r="400" spans="1:13" s="40" customFormat="1" outlineLevel="1" x14ac:dyDescent="0.2">
      <c r="A400" s="289">
        <v>13</v>
      </c>
      <c r="B400" s="251" t="s">
        <v>382</v>
      </c>
      <c r="C400" s="297" t="s">
        <v>14</v>
      </c>
      <c r="D400" s="293">
        <v>1</v>
      </c>
      <c r="E400" s="295">
        <v>100</v>
      </c>
      <c r="F400" s="293">
        <f t="shared" ref="F400" si="122">E400*D400</f>
        <v>100</v>
      </c>
      <c r="G400" s="56" t="s">
        <v>374</v>
      </c>
      <c r="H400" s="70" t="s">
        <v>14</v>
      </c>
      <c r="I400" s="73">
        <f>D400</f>
        <v>1</v>
      </c>
      <c r="J400" s="76">
        <v>130</v>
      </c>
      <c r="K400" s="73">
        <f t="shared" si="111"/>
        <v>130</v>
      </c>
      <c r="L400" s="269">
        <f>SUM(K400:K401,F400)</f>
        <v>300</v>
      </c>
      <c r="M400" s="206"/>
    </row>
    <row r="401" spans="1:37" s="40" customFormat="1" ht="14.25" customHeight="1" outlineLevel="1" thickBot="1" x14ac:dyDescent="0.25">
      <c r="A401" s="290"/>
      <c r="B401" s="253"/>
      <c r="C401" s="298"/>
      <c r="D401" s="294"/>
      <c r="E401" s="296"/>
      <c r="F401" s="294"/>
      <c r="G401" s="58" t="s">
        <v>368</v>
      </c>
      <c r="H401" s="72" t="s">
        <v>40</v>
      </c>
      <c r="I401" s="75">
        <f>D400*1</f>
        <v>1</v>
      </c>
      <c r="J401" s="77">
        <v>70</v>
      </c>
      <c r="K401" s="75">
        <f t="shared" si="111"/>
        <v>70</v>
      </c>
      <c r="L401" s="271"/>
      <c r="M401" s="206"/>
    </row>
    <row r="402" spans="1:37" s="4" customFormat="1" outlineLevel="1" x14ac:dyDescent="0.25">
      <c r="A402" s="289">
        <v>14</v>
      </c>
      <c r="B402" s="251" t="s">
        <v>385</v>
      </c>
      <c r="C402" s="297" t="s">
        <v>14</v>
      </c>
      <c r="D402" s="293">
        <v>1</v>
      </c>
      <c r="E402" s="295">
        <v>200</v>
      </c>
      <c r="F402" s="293">
        <f t="shared" ref="F402" si="123">E402*D402</f>
        <v>200</v>
      </c>
      <c r="G402" s="56" t="s">
        <v>159</v>
      </c>
      <c r="H402" s="70" t="s">
        <v>40</v>
      </c>
      <c r="I402" s="73">
        <f>D402*0.2</f>
        <v>0.2</v>
      </c>
      <c r="J402" s="57">
        <v>900</v>
      </c>
      <c r="K402" s="73">
        <f>J402*I402</f>
        <v>180</v>
      </c>
      <c r="L402" s="269">
        <f>SUM(K402:K403,F402)</f>
        <v>389</v>
      </c>
      <c r="M402" s="206"/>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37" s="4" customFormat="1" ht="12.6" outlineLevel="1" thickBot="1" x14ac:dyDescent="0.3">
      <c r="A403" s="325"/>
      <c r="B403" s="252"/>
      <c r="C403" s="402"/>
      <c r="D403" s="403"/>
      <c r="E403" s="404"/>
      <c r="F403" s="403"/>
      <c r="G403" s="15" t="s">
        <v>160</v>
      </c>
      <c r="H403" s="91" t="s">
        <v>11</v>
      </c>
      <c r="I403" s="92">
        <f>D402*3</f>
        <v>3</v>
      </c>
      <c r="J403" s="16">
        <v>3</v>
      </c>
      <c r="K403" s="92">
        <f>J403*I403</f>
        <v>9</v>
      </c>
      <c r="L403" s="270"/>
      <c r="M403" s="206"/>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spans="1:37" s="4" customFormat="1" outlineLevel="1" x14ac:dyDescent="0.25">
      <c r="A404" s="289">
        <v>15</v>
      </c>
      <c r="B404" s="251" t="s">
        <v>383</v>
      </c>
      <c r="C404" s="297" t="s">
        <v>14</v>
      </c>
      <c r="D404" s="293">
        <v>1</v>
      </c>
      <c r="E404" s="295">
        <v>120</v>
      </c>
      <c r="F404" s="293">
        <f t="shared" ref="F404" si="124">E404*D404</f>
        <v>120</v>
      </c>
      <c r="G404" s="56" t="s">
        <v>386</v>
      </c>
      <c r="H404" s="70" t="s">
        <v>14</v>
      </c>
      <c r="I404" s="73">
        <f>D404*1.1</f>
        <v>1.1000000000000001</v>
      </c>
      <c r="J404" s="76">
        <v>50</v>
      </c>
      <c r="K404" s="73">
        <f>I404*J404</f>
        <v>55.000000000000007</v>
      </c>
      <c r="L404" s="269">
        <f>SUM(K404:K405,F404)</f>
        <v>315</v>
      </c>
      <c r="M404" s="206"/>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spans="1:37" s="4" customFormat="1" ht="12.75" customHeight="1" outlineLevel="1" thickBot="1" x14ac:dyDescent="0.3">
      <c r="A405" s="290"/>
      <c r="B405" s="253"/>
      <c r="C405" s="298"/>
      <c r="D405" s="294"/>
      <c r="E405" s="296"/>
      <c r="F405" s="294"/>
      <c r="G405" s="58" t="s">
        <v>387</v>
      </c>
      <c r="H405" s="72" t="s">
        <v>40</v>
      </c>
      <c r="I405" s="75">
        <v>2</v>
      </c>
      <c r="J405" s="77">
        <v>70</v>
      </c>
      <c r="K405" s="75">
        <f>I405*J405</f>
        <v>140</v>
      </c>
      <c r="L405" s="271"/>
      <c r="M405" s="206"/>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spans="1:37" s="4" customFormat="1" outlineLevel="1" x14ac:dyDescent="0.25">
      <c r="A406" s="289">
        <v>16</v>
      </c>
      <c r="B406" s="251" t="s">
        <v>388</v>
      </c>
      <c r="C406" s="297" t="s">
        <v>14</v>
      </c>
      <c r="D406" s="293">
        <v>1</v>
      </c>
      <c r="E406" s="295">
        <v>280</v>
      </c>
      <c r="F406" s="293">
        <f t="shared" ref="F406" si="125">E406*D406</f>
        <v>280</v>
      </c>
      <c r="G406" s="56" t="s">
        <v>159</v>
      </c>
      <c r="H406" s="70" t="s">
        <v>40</v>
      </c>
      <c r="I406" s="73">
        <f>D406*0.4</f>
        <v>0.4</v>
      </c>
      <c r="J406" s="57">
        <v>900</v>
      </c>
      <c r="K406" s="73">
        <f>J406*I406</f>
        <v>360</v>
      </c>
      <c r="L406" s="269">
        <f>SUM(K406:K407,F406)</f>
        <v>655</v>
      </c>
      <c r="M406" s="206"/>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pans="1:37" s="4" customFormat="1" ht="12.6" outlineLevel="1" thickBot="1" x14ac:dyDescent="0.3">
      <c r="A407" s="290"/>
      <c r="B407" s="253"/>
      <c r="C407" s="298"/>
      <c r="D407" s="294"/>
      <c r="E407" s="296"/>
      <c r="F407" s="294"/>
      <c r="G407" s="58" t="s">
        <v>160</v>
      </c>
      <c r="H407" s="72" t="s">
        <v>11</v>
      </c>
      <c r="I407" s="75">
        <f>D406*5</f>
        <v>5</v>
      </c>
      <c r="J407" s="59">
        <v>3</v>
      </c>
      <c r="K407" s="75">
        <f>J407*I407</f>
        <v>15</v>
      </c>
      <c r="L407" s="271"/>
      <c r="M407" s="206"/>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spans="1:37" s="4" customFormat="1" outlineLevel="1" x14ac:dyDescent="0.25">
      <c r="A408" s="325">
        <v>17</v>
      </c>
      <c r="B408" s="252" t="s">
        <v>389</v>
      </c>
      <c r="C408" s="402" t="s">
        <v>14</v>
      </c>
      <c r="D408" s="403">
        <v>1</v>
      </c>
      <c r="E408" s="404">
        <v>150</v>
      </c>
      <c r="F408" s="403">
        <f t="shared" ref="F408" si="126">E408*D408</f>
        <v>150</v>
      </c>
      <c r="G408" s="55" t="s">
        <v>386</v>
      </c>
      <c r="H408" s="79" t="s">
        <v>14</v>
      </c>
      <c r="I408" s="80">
        <f>D408*1.1</f>
        <v>1.1000000000000001</v>
      </c>
      <c r="J408" s="81">
        <v>100</v>
      </c>
      <c r="K408" s="80">
        <f>I408*J408</f>
        <v>110.00000000000001</v>
      </c>
      <c r="L408" s="270">
        <f>SUM(K408:K409,F408)</f>
        <v>500</v>
      </c>
      <c r="M408" s="206"/>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spans="1:37" s="4" customFormat="1" ht="12.75" customHeight="1" outlineLevel="1" thickBot="1" x14ac:dyDescent="0.3">
      <c r="A409" s="290"/>
      <c r="B409" s="253"/>
      <c r="C409" s="298"/>
      <c r="D409" s="294"/>
      <c r="E409" s="296"/>
      <c r="F409" s="294"/>
      <c r="G409" s="114" t="s">
        <v>387</v>
      </c>
      <c r="H409" s="112" t="s">
        <v>40</v>
      </c>
      <c r="I409" s="113">
        <v>2</v>
      </c>
      <c r="J409" s="115">
        <v>120</v>
      </c>
      <c r="K409" s="110">
        <f>I409*J409</f>
        <v>240</v>
      </c>
      <c r="L409" s="271"/>
      <c r="M409" s="206"/>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spans="1:37" s="4" customFormat="1" outlineLevel="1" x14ac:dyDescent="0.25">
      <c r="A410" s="281">
        <v>18</v>
      </c>
      <c r="B410" s="272" t="s">
        <v>393</v>
      </c>
      <c r="C410" s="254" t="s">
        <v>40</v>
      </c>
      <c r="D410" s="257">
        <v>1</v>
      </c>
      <c r="E410" s="260">
        <v>3200</v>
      </c>
      <c r="F410" s="257">
        <f>E410*D410</f>
        <v>3200</v>
      </c>
      <c r="G410" s="56" t="s">
        <v>394</v>
      </c>
      <c r="H410" s="70" t="s">
        <v>40</v>
      </c>
      <c r="I410" s="73">
        <f>D410</f>
        <v>1</v>
      </c>
      <c r="J410" s="57">
        <v>600</v>
      </c>
      <c r="K410" s="73">
        <f>J410*I410</f>
        <v>600</v>
      </c>
      <c r="L410" s="357">
        <f>SUM(K410:K411,F410)</f>
        <v>3850</v>
      </c>
      <c r="M410" s="206"/>
      <c r="N410" s="23"/>
      <c r="O410" s="24"/>
      <c r="P410" s="25"/>
      <c r="Q410" s="25"/>
      <c r="R410" s="25"/>
      <c r="S410" s="3"/>
      <c r="T410" s="3"/>
      <c r="U410" s="3"/>
      <c r="V410" s="3"/>
      <c r="W410" s="3"/>
      <c r="X410" s="3"/>
      <c r="Y410" s="3"/>
      <c r="Z410" s="3"/>
      <c r="AA410" s="3"/>
      <c r="AB410" s="3"/>
      <c r="AC410" s="3"/>
      <c r="AD410" s="3"/>
      <c r="AE410" s="3"/>
      <c r="AF410" s="3"/>
      <c r="AG410" s="3"/>
      <c r="AH410" s="3"/>
      <c r="AI410" s="3"/>
      <c r="AJ410" s="3"/>
      <c r="AK410" s="3"/>
    </row>
    <row r="411" spans="1:37" s="4" customFormat="1" ht="12.6" outlineLevel="1" thickBot="1" x14ac:dyDescent="0.3">
      <c r="A411" s="282"/>
      <c r="B411" s="274"/>
      <c r="C411" s="256"/>
      <c r="D411" s="259"/>
      <c r="E411" s="262"/>
      <c r="F411" s="259"/>
      <c r="G411" s="58" t="s">
        <v>395</v>
      </c>
      <c r="H411" s="72" t="s">
        <v>40</v>
      </c>
      <c r="I411" s="75">
        <f>D410</f>
        <v>1</v>
      </c>
      <c r="J411" s="59">
        <v>50</v>
      </c>
      <c r="K411" s="75">
        <f>J411*I411</f>
        <v>50</v>
      </c>
      <c r="L411" s="359"/>
      <c r="M411" s="206"/>
      <c r="N411" s="3"/>
      <c r="O411" s="3"/>
      <c r="P411" s="3"/>
      <c r="Q411" s="3"/>
      <c r="R411" s="3"/>
      <c r="S411" s="3"/>
      <c r="T411" s="3"/>
      <c r="U411" s="3"/>
      <c r="V411" s="3"/>
      <c r="W411" s="3"/>
      <c r="X411" s="3"/>
      <c r="Y411" s="3"/>
      <c r="Z411" s="3"/>
      <c r="AA411" s="3"/>
      <c r="AB411" s="3"/>
      <c r="AC411" s="3"/>
      <c r="AD411" s="3"/>
      <c r="AE411" s="3"/>
      <c r="AF411" s="3"/>
      <c r="AG411" s="3"/>
      <c r="AH411" s="3"/>
      <c r="AI411" s="3"/>
      <c r="AJ411" s="3"/>
      <c r="AK411" s="3"/>
    </row>
    <row r="412" spans="1:37" s="4" customFormat="1" outlineLevel="1" x14ac:dyDescent="0.25">
      <c r="A412" s="289">
        <v>19</v>
      </c>
      <c r="B412" s="251" t="s">
        <v>396</v>
      </c>
      <c r="C412" s="297" t="s">
        <v>40</v>
      </c>
      <c r="D412" s="293">
        <v>1</v>
      </c>
      <c r="E412" s="295">
        <v>75</v>
      </c>
      <c r="F412" s="293">
        <f t="shared" ref="F412" si="127">E412*D412</f>
        <v>75</v>
      </c>
      <c r="G412" s="56" t="s">
        <v>401</v>
      </c>
      <c r="H412" s="70" t="s">
        <v>40</v>
      </c>
      <c r="I412" s="73">
        <f>D412*1</f>
        <v>1</v>
      </c>
      <c r="J412" s="76">
        <v>1200</v>
      </c>
      <c r="K412" s="73">
        <f>I412*J412</f>
        <v>1200</v>
      </c>
      <c r="L412" s="269">
        <f>SUM(K412:K413,F412)</f>
        <v>1325</v>
      </c>
      <c r="M412" s="206"/>
      <c r="N412" s="3"/>
      <c r="O412" s="3"/>
      <c r="P412" s="3"/>
      <c r="Q412" s="3"/>
      <c r="R412" s="3"/>
      <c r="S412" s="3"/>
      <c r="T412" s="3"/>
      <c r="U412" s="3"/>
      <c r="V412" s="3"/>
      <c r="W412" s="3"/>
      <c r="X412" s="3"/>
      <c r="Y412" s="3"/>
      <c r="Z412" s="3"/>
      <c r="AA412" s="3"/>
      <c r="AB412" s="3"/>
      <c r="AC412" s="3"/>
      <c r="AD412" s="3"/>
      <c r="AE412" s="3"/>
      <c r="AF412" s="3"/>
      <c r="AG412" s="3"/>
      <c r="AH412" s="3"/>
      <c r="AI412" s="3"/>
      <c r="AJ412" s="3"/>
      <c r="AK412" s="3"/>
    </row>
    <row r="413" spans="1:37" s="4" customFormat="1" ht="12.6" outlineLevel="1" thickBot="1" x14ac:dyDescent="0.3">
      <c r="A413" s="325"/>
      <c r="B413" s="252"/>
      <c r="C413" s="402"/>
      <c r="D413" s="403"/>
      <c r="E413" s="404"/>
      <c r="F413" s="403"/>
      <c r="G413" s="15" t="s">
        <v>395</v>
      </c>
      <c r="H413" s="91" t="s">
        <v>40</v>
      </c>
      <c r="I413" s="92">
        <f>D412</f>
        <v>1</v>
      </c>
      <c r="J413" s="16">
        <v>50</v>
      </c>
      <c r="K413" s="92">
        <f>J413*I413</f>
        <v>50</v>
      </c>
      <c r="L413" s="270"/>
      <c r="M413" s="206"/>
      <c r="N413" s="3"/>
      <c r="O413" s="3"/>
      <c r="P413" s="3"/>
      <c r="Q413" s="3"/>
      <c r="R413" s="3"/>
      <c r="S413" s="3"/>
      <c r="T413" s="3"/>
      <c r="U413" s="3"/>
      <c r="V413" s="3"/>
      <c r="W413" s="3"/>
      <c r="X413" s="3"/>
      <c r="Y413" s="3"/>
      <c r="Z413" s="3"/>
      <c r="AA413" s="3"/>
      <c r="AB413" s="3"/>
      <c r="AC413" s="3"/>
      <c r="AD413" s="3"/>
      <c r="AE413" s="3"/>
      <c r="AF413" s="3"/>
      <c r="AG413" s="3"/>
      <c r="AH413" s="3"/>
      <c r="AI413" s="3"/>
      <c r="AJ413" s="3"/>
      <c r="AK413" s="3"/>
    </row>
    <row r="414" spans="1:37" s="4" customFormat="1" outlineLevel="1" x14ac:dyDescent="0.25">
      <c r="A414" s="289">
        <v>20</v>
      </c>
      <c r="B414" s="251" t="s">
        <v>397</v>
      </c>
      <c r="C414" s="297" t="s">
        <v>40</v>
      </c>
      <c r="D414" s="293">
        <v>1</v>
      </c>
      <c r="E414" s="295">
        <v>75</v>
      </c>
      <c r="F414" s="293">
        <f t="shared" ref="F414" si="128">E414*D414</f>
        <v>75</v>
      </c>
      <c r="G414" s="56" t="s">
        <v>402</v>
      </c>
      <c r="H414" s="70" t="s">
        <v>40</v>
      </c>
      <c r="I414" s="73">
        <f>D414</f>
        <v>1</v>
      </c>
      <c r="J414" s="76">
        <v>250</v>
      </c>
      <c r="K414" s="73">
        <f t="shared" ref="K414:K421" si="129">J414*I414</f>
        <v>250</v>
      </c>
      <c r="L414" s="269">
        <f>SUM(K414:K415,F414)</f>
        <v>375</v>
      </c>
      <c r="M414" s="206"/>
      <c r="N414" s="3"/>
      <c r="O414" s="3"/>
      <c r="P414" s="3"/>
      <c r="Q414" s="3"/>
      <c r="R414" s="3"/>
      <c r="S414" s="3"/>
      <c r="T414" s="3"/>
      <c r="U414" s="3"/>
      <c r="V414" s="3"/>
      <c r="W414" s="3"/>
      <c r="X414" s="3"/>
      <c r="Y414" s="3"/>
      <c r="Z414" s="3"/>
      <c r="AA414" s="3"/>
      <c r="AB414" s="3"/>
      <c r="AC414" s="3"/>
      <c r="AD414" s="3"/>
      <c r="AE414" s="3"/>
      <c r="AF414" s="3"/>
      <c r="AG414" s="3"/>
      <c r="AH414" s="3"/>
      <c r="AI414" s="3"/>
      <c r="AJ414" s="3"/>
      <c r="AK414" s="3"/>
    </row>
    <row r="415" spans="1:37" s="4" customFormat="1" ht="12.6" outlineLevel="1" thickBot="1" x14ac:dyDescent="0.3">
      <c r="A415" s="290"/>
      <c r="B415" s="253"/>
      <c r="C415" s="298"/>
      <c r="D415" s="294"/>
      <c r="E415" s="296"/>
      <c r="F415" s="294"/>
      <c r="G415" s="58" t="s">
        <v>395</v>
      </c>
      <c r="H415" s="72" t="s">
        <v>40</v>
      </c>
      <c r="I415" s="75">
        <f>D414</f>
        <v>1</v>
      </c>
      <c r="J415" s="59">
        <v>50</v>
      </c>
      <c r="K415" s="75">
        <f t="shared" si="129"/>
        <v>50</v>
      </c>
      <c r="L415" s="271"/>
      <c r="M415" s="206"/>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spans="1:37" s="4" customFormat="1" outlineLevel="1" x14ac:dyDescent="0.25">
      <c r="A416" s="289">
        <v>21</v>
      </c>
      <c r="B416" s="251" t="s">
        <v>398</v>
      </c>
      <c r="C416" s="297" t="s">
        <v>40</v>
      </c>
      <c r="D416" s="293">
        <v>1</v>
      </c>
      <c r="E416" s="295">
        <v>75</v>
      </c>
      <c r="F416" s="293">
        <f t="shared" ref="F416" si="130">E416*D416</f>
        <v>75</v>
      </c>
      <c r="G416" s="56" t="s">
        <v>402</v>
      </c>
      <c r="H416" s="70" t="s">
        <v>40</v>
      </c>
      <c r="I416" s="73">
        <f>D416</f>
        <v>1</v>
      </c>
      <c r="J416" s="76">
        <v>2500</v>
      </c>
      <c r="K416" s="73">
        <f t="shared" ref="K416:K417" si="131">J416*I416</f>
        <v>2500</v>
      </c>
      <c r="L416" s="269">
        <f>SUM(K416:K417,F416)</f>
        <v>2625</v>
      </c>
      <c r="M416" s="206"/>
      <c r="N416" s="3"/>
      <c r="O416" s="3"/>
      <c r="P416" s="3"/>
      <c r="Q416" s="3"/>
      <c r="R416" s="3"/>
      <c r="S416" s="3"/>
      <c r="T416" s="3"/>
      <c r="U416" s="3"/>
      <c r="V416" s="3"/>
      <c r="W416" s="3"/>
      <c r="X416" s="3"/>
      <c r="Y416" s="3"/>
      <c r="Z416" s="3"/>
      <c r="AA416" s="3"/>
      <c r="AB416" s="3"/>
      <c r="AC416" s="3"/>
      <c r="AD416" s="3"/>
      <c r="AE416" s="3"/>
      <c r="AF416" s="3"/>
      <c r="AG416" s="3"/>
      <c r="AH416" s="3"/>
      <c r="AI416" s="3"/>
      <c r="AJ416" s="3"/>
      <c r="AK416" s="3"/>
    </row>
    <row r="417" spans="1:37" s="4" customFormat="1" ht="12.6" outlineLevel="1" thickBot="1" x14ac:dyDescent="0.3">
      <c r="A417" s="290"/>
      <c r="B417" s="253"/>
      <c r="C417" s="298"/>
      <c r="D417" s="294"/>
      <c r="E417" s="296"/>
      <c r="F417" s="294"/>
      <c r="G417" s="58" t="s">
        <v>395</v>
      </c>
      <c r="H417" s="72" t="s">
        <v>40</v>
      </c>
      <c r="I417" s="75">
        <f>D416</f>
        <v>1</v>
      </c>
      <c r="J417" s="59">
        <v>50</v>
      </c>
      <c r="K417" s="75">
        <f t="shared" si="131"/>
        <v>50</v>
      </c>
      <c r="L417" s="271"/>
      <c r="M417" s="206"/>
      <c r="N417" s="3"/>
      <c r="O417" s="3"/>
      <c r="P417" s="3"/>
      <c r="Q417" s="3"/>
      <c r="R417" s="3"/>
      <c r="S417" s="3"/>
      <c r="T417" s="3"/>
      <c r="U417" s="3"/>
      <c r="V417" s="3"/>
      <c r="W417" s="3"/>
      <c r="X417" s="3"/>
      <c r="Y417" s="3"/>
      <c r="Z417" s="3"/>
      <c r="AA417" s="3"/>
      <c r="AB417" s="3"/>
      <c r="AC417" s="3"/>
      <c r="AD417" s="3"/>
      <c r="AE417" s="3"/>
      <c r="AF417" s="3"/>
      <c r="AG417" s="3"/>
      <c r="AH417" s="3"/>
      <c r="AI417" s="3"/>
      <c r="AJ417" s="3"/>
      <c r="AK417" s="3"/>
    </row>
    <row r="418" spans="1:37" s="4" customFormat="1" outlineLevel="1" x14ac:dyDescent="0.25">
      <c r="A418" s="289">
        <v>22</v>
      </c>
      <c r="B418" s="251" t="s">
        <v>399</v>
      </c>
      <c r="C418" s="297" t="s">
        <v>40</v>
      </c>
      <c r="D418" s="293">
        <v>1</v>
      </c>
      <c r="E418" s="295">
        <v>75</v>
      </c>
      <c r="F418" s="293">
        <f t="shared" ref="F418" si="132">E418*D418</f>
        <v>75</v>
      </c>
      <c r="G418" s="56" t="s">
        <v>403</v>
      </c>
      <c r="H418" s="70" t="s">
        <v>40</v>
      </c>
      <c r="I418" s="73">
        <f>D418</f>
        <v>1</v>
      </c>
      <c r="J418" s="76">
        <v>1200</v>
      </c>
      <c r="K418" s="73">
        <f t="shared" si="129"/>
        <v>1200</v>
      </c>
      <c r="L418" s="269">
        <f>SUM(K418:K419,F418)</f>
        <v>1325</v>
      </c>
      <c r="M418" s="206"/>
      <c r="N418" s="3"/>
      <c r="O418" s="3"/>
      <c r="P418" s="3"/>
      <c r="Q418" s="3"/>
      <c r="R418" s="3"/>
      <c r="S418" s="3"/>
      <c r="T418" s="3"/>
      <c r="U418" s="3"/>
      <c r="V418" s="3"/>
      <c r="W418" s="3"/>
      <c r="X418" s="3"/>
      <c r="Y418" s="3"/>
      <c r="Z418" s="3"/>
      <c r="AA418" s="3"/>
      <c r="AB418" s="3"/>
      <c r="AC418" s="3"/>
      <c r="AD418" s="3"/>
      <c r="AE418" s="3"/>
      <c r="AF418" s="3"/>
      <c r="AG418" s="3"/>
      <c r="AH418" s="3"/>
      <c r="AI418" s="3"/>
      <c r="AJ418" s="3"/>
      <c r="AK418" s="3"/>
    </row>
    <row r="419" spans="1:37" s="4" customFormat="1" ht="15.75" customHeight="1" outlineLevel="1" thickBot="1" x14ac:dyDescent="0.3">
      <c r="A419" s="290"/>
      <c r="B419" s="253"/>
      <c r="C419" s="298"/>
      <c r="D419" s="294"/>
      <c r="E419" s="296"/>
      <c r="F419" s="294"/>
      <c r="G419" s="58" t="s">
        <v>395</v>
      </c>
      <c r="H419" s="72" t="s">
        <v>40</v>
      </c>
      <c r="I419" s="75">
        <f>D418</f>
        <v>1</v>
      </c>
      <c r="J419" s="59">
        <v>50</v>
      </c>
      <c r="K419" s="75">
        <f t="shared" si="129"/>
        <v>50</v>
      </c>
      <c r="L419" s="271"/>
      <c r="M419" s="206"/>
      <c r="N419" s="3"/>
      <c r="O419" s="3"/>
      <c r="P419" s="3"/>
      <c r="Q419" s="3"/>
      <c r="R419" s="3"/>
      <c r="S419" s="3"/>
      <c r="T419" s="3"/>
      <c r="U419" s="3"/>
      <c r="V419" s="3"/>
      <c r="W419" s="3"/>
      <c r="X419" s="3"/>
      <c r="Y419" s="3"/>
      <c r="Z419" s="3"/>
      <c r="AA419" s="3"/>
      <c r="AB419" s="3"/>
      <c r="AC419" s="3"/>
      <c r="AD419" s="3"/>
      <c r="AE419" s="3"/>
      <c r="AF419" s="3"/>
      <c r="AG419" s="3"/>
      <c r="AH419" s="3"/>
      <c r="AI419" s="3"/>
      <c r="AJ419" s="3"/>
      <c r="AK419" s="3"/>
    </row>
    <row r="420" spans="1:37" s="4" customFormat="1" outlineLevel="1" x14ac:dyDescent="0.25">
      <c r="A420" s="289">
        <v>23</v>
      </c>
      <c r="B420" s="251" t="s">
        <v>400</v>
      </c>
      <c r="C420" s="297" t="s">
        <v>40</v>
      </c>
      <c r="D420" s="293">
        <v>1</v>
      </c>
      <c r="E420" s="295">
        <v>75</v>
      </c>
      <c r="F420" s="293">
        <f t="shared" ref="F420" si="133">E420*D420</f>
        <v>75</v>
      </c>
      <c r="G420" s="56" t="s">
        <v>404</v>
      </c>
      <c r="H420" s="70" t="s">
        <v>40</v>
      </c>
      <c r="I420" s="73">
        <f>D420</f>
        <v>1</v>
      </c>
      <c r="J420" s="76">
        <v>1500</v>
      </c>
      <c r="K420" s="73">
        <f t="shared" si="129"/>
        <v>1500</v>
      </c>
      <c r="L420" s="269">
        <f>SUM(K420:K421,F420)</f>
        <v>1625</v>
      </c>
      <c r="M420" s="206"/>
      <c r="N420" s="3"/>
      <c r="O420" s="3"/>
      <c r="P420" s="3"/>
      <c r="Q420" s="3"/>
      <c r="R420" s="3"/>
      <c r="S420" s="3"/>
      <c r="T420" s="3"/>
      <c r="U420" s="3"/>
      <c r="V420" s="3"/>
      <c r="W420" s="3"/>
      <c r="X420" s="3"/>
      <c r="Y420" s="3"/>
      <c r="Z420" s="3"/>
      <c r="AA420" s="3"/>
      <c r="AB420" s="3"/>
      <c r="AC420" s="3"/>
      <c r="AD420" s="3"/>
      <c r="AE420" s="3"/>
      <c r="AF420" s="3"/>
      <c r="AG420" s="3"/>
      <c r="AH420" s="3"/>
      <c r="AI420" s="3"/>
      <c r="AJ420" s="3"/>
      <c r="AK420" s="3"/>
    </row>
    <row r="421" spans="1:37" s="4" customFormat="1" ht="12.6" outlineLevel="1" thickBot="1" x14ac:dyDescent="0.3">
      <c r="A421" s="290"/>
      <c r="B421" s="253"/>
      <c r="C421" s="298"/>
      <c r="D421" s="294"/>
      <c r="E421" s="296"/>
      <c r="F421" s="294"/>
      <c r="G421" s="58" t="s">
        <v>395</v>
      </c>
      <c r="H421" s="72" t="s">
        <v>40</v>
      </c>
      <c r="I421" s="75">
        <f>D420</f>
        <v>1</v>
      </c>
      <c r="J421" s="59">
        <v>50</v>
      </c>
      <c r="K421" s="75">
        <f t="shared" si="129"/>
        <v>50</v>
      </c>
      <c r="L421" s="271"/>
      <c r="M421" s="206"/>
      <c r="N421" s="3"/>
      <c r="O421" s="3"/>
      <c r="P421" s="3"/>
      <c r="Q421" s="3"/>
      <c r="R421" s="3"/>
      <c r="S421" s="3"/>
      <c r="T421" s="3"/>
      <c r="U421" s="3"/>
      <c r="V421" s="3"/>
      <c r="W421" s="3"/>
      <c r="X421" s="3"/>
      <c r="Y421" s="3"/>
      <c r="Z421" s="3"/>
      <c r="AA421" s="3"/>
      <c r="AB421" s="3"/>
      <c r="AC421" s="3"/>
      <c r="AD421" s="3"/>
      <c r="AE421" s="3"/>
      <c r="AF421" s="3"/>
      <c r="AG421" s="3"/>
      <c r="AH421" s="3"/>
      <c r="AI421" s="3"/>
      <c r="AJ421" s="3"/>
      <c r="AK421" s="3"/>
    </row>
    <row r="422" spans="1:37" s="4" customFormat="1" outlineLevel="1" x14ac:dyDescent="0.25">
      <c r="A422" s="289">
        <v>24</v>
      </c>
      <c r="B422" s="251" t="s">
        <v>405</v>
      </c>
      <c r="C422" s="297" t="s">
        <v>40</v>
      </c>
      <c r="D422" s="293">
        <v>1</v>
      </c>
      <c r="E422" s="295">
        <v>1500</v>
      </c>
      <c r="F422" s="293">
        <f t="shared" ref="F422" si="134">E422*D422</f>
        <v>1500</v>
      </c>
      <c r="G422" s="56" t="s">
        <v>406</v>
      </c>
      <c r="H422" s="70" t="s">
        <v>40</v>
      </c>
      <c r="I422" s="73">
        <f>D422</f>
        <v>1</v>
      </c>
      <c r="J422" s="76">
        <v>800</v>
      </c>
      <c r="K422" s="73">
        <f t="shared" ref="K422:K423" si="135">J422*I422</f>
        <v>800</v>
      </c>
      <c r="L422" s="269">
        <f>SUM(K422:K423,F422)</f>
        <v>2550</v>
      </c>
      <c r="M422" s="206"/>
      <c r="N422" s="3"/>
      <c r="O422" s="3"/>
      <c r="P422" s="3"/>
      <c r="Q422" s="3"/>
      <c r="R422" s="3"/>
      <c r="S422" s="3"/>
      <c r="T422" s="3"/>
      <c r="U422" s="3"/>
      <c r="V422" s="3"/>
      <c r="W422" s="3"/>
      <c r="X422" s="3"/>
      <c r="Y422" s="3"/>
      <c r="Z422" s="3"/>
      <c r="AA422" s="3"/>
      <c r="AB422" s="3"/>
      <c r="AC422" s="3"/>
      <c r="AD422" s="3"/>
      <c r="AE422" s="3"/>
      <c r="AF422" s="3"/>
      <c r="AG422" s="3"/>
      <c r="AH422" s="3"/>
      <c r="AI422" s="3"/>
      <c r="AJ422" s="3"/>
      <c r="AK422" s="3"/>
    </row>
    <row r="423" spans="1:37" s="4" customFormat="1" ht="12.6" outlineLevel="1" thickBot="1" x14ac:dyDescent="0.3">
      <c r="A423" s="290"/>
      <c r="B423" s="253"/>
      <c r="C423" s="298"/>
      <c r="D423" s="294"/>
      <c r="E423" s="296"/>
      <c r="F423" s="294"/>
      <c r="G423" s="58" t="s">
        <v>395</v>
      </c>
      <c r="H423" s="72" t="s">
        <v>40</v>
      </c>
      <c r="I423" s="75">
        <f>D422</f>
        <v>1</v>
      </c>
      <c r="J423" s="59">
        <v>250</v>
      </c>
      <c r="K423" s="75">
        <f t="shared" si="135"/>
        <v>250</v>
      </c>
      <c r="L423" s="271"/>
      <c r="M423" s="206"/>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spans="1:37" s="4" customFormat="1" outlineLevel="1" x14ac:dyDescent="0.25">
      <c r="A424" s="289">
        <v>25</v>
      </c>
      <c r="B424" s="251" t="s">
        <v>407</v>
      </c>
      <c r="C424" s="297" t="s">
        <v>40</v>
      </c>
      <c r="D424" s="293">
        <v>1</v>
      </c>
      <c r="E424" s="295">
        <v>3500</v>
      </c>
      <c r="F424" s="293">
        <f t="shared" ref="F424" si="136">E424*D424</f>
        <v>3500</v>
      </c>
      <c r="G424" s="56" t="s">
        <v>408</v>
      </c>
      <c r="H424" s="70" t="s">
        <v>40</v>
      </c>
      <c r="I424" s="73">
        <f>D424</f>
        <v>1</v>
      </c>
      <c r="J424" s="76">
        <v>3500</v>
      </c>
      <c r="K424" s="73">
        <f t="shared" ref="K424:K425" si="137">J424*I424</f>
        <v>3500</v>
      </c>
      <c r="L424" s="269">
        <f>SUM(K424:K425,F424)</f>
        <v>7500</v>
      </c>
      <c r="M424" s="206"/>
      <c r="N424" s="3"/>
      <c r="O424" s="3"/>
      <c r="P424" s="3"/>
      <c r="Q424" s="3"/>
      <c r="R424" s="3"/>
      <c r="S424" s="3"/>
      <c r="T424" s="3"/>
      <c r="U424" s="3"/>
      <c r="V424" s="3"/>
      <c r="W424" s="3"/>
      <c r="X424" s="3"/>
      <c r="Y424" s="3"/>
      <c r="Z424" s="3"/>
      <c r="AA424" s="3"/>
      <c r="AB424" s="3"/>
      <c r="AC424" s="3"/>
      <c r="AD424" s="3"/>
      <c r="AE424" s="3"/>
      <c r="AF424" s="3"/>
      <c r="AG424" s="3"/>
      <c r="AH424" s="3"/>
      <c r="AI424" s="3"/>
      <c r="AJ424" s="3"/>
      <c r="AK424" s="3"/>
    </row>
    <row r="425" spans="1:37" s="4" customFormat="1" ht="12.6" outlineLevel="1" thickBot="1" x14ac:dyDescent="0.3">
      <c r="A425" s="290"/>
      <c r="B425" s="253"/>
      <c r="C425" s="298"/>
      <c r="D425" s="294"/>
      <c r="E425" s="296"/>
      <c r="F425" s="294"/>
      <c r="G425" s="58" t="s">
        <v>395</v>
      </c>
      <c r="H425" s="72" t="s">
        <v>40</v>
      </c>
      <c r="I425" s="75">
        <f>D424</f>
        <v>1</v>
      </c>
      <c r="J425" s="59">
        <v>500</v>
      </c>
      <c r="K425" s="75">
        <f t="shared" si="137"/>
        <v>500</v>
      </c>
      <c r="L425" s="271"/>
      <c r="M425" s="206"/>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spans="1:37" s="4" customFormat="1" outlineLevel="1" x14ac:dyDescent="0.25">
      <c r="A426" s="289">
        <v>26</v>
      </c>
      <c r="B426" s="251" t="s">
        <v>409</v>
      </c>
      <c r="C426" s="297" t="s">
        <v>40</v>
      </c>
      <c r="D426" s="293">
        <v>1</v>
      </c>
      <c r="E426" s="295">
        <v>3000</v>
      </c>
      <c r="F426" s="293">
        <f t="shared" ref="F426" si="138">E426*D426</f>
        <v>3000</v>
      </c>
      <c r="G426" s="56" t="s">
        <v>413</v>
      </c>
      <c r="H426" s="70" t="s">
        <v>40</v>
      </c>
      <c r="I426" s="73">
        <f>D426</f>
        <v>1</v>
      </c>
      <c r="J426" s="76">
        <v>8500</v>
      </c>
      <c r="K426" s="73">
        <f t="shared" ref="K426:K429" si="139">J426*I426</f>
        <v>8500</v>
      </c>
      <c r="L426" s="269">
        <f>SUM(K426:K427,F426)</f>
        <v>12000</v>
      </c>
      <c r="M426" s="206"/>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spans="1:37" s="4" customFormat="1" ht="12.6" outlineLevel="1" thickBot="1" x14ac:dyDescent="0.3">
      <c r="A427" s="290"/>
      <c r="B427" s="253"/>
      <c r="C427" s="298"/>
      <c r="D427" s="294"/>
      <c r="E427" s="296"/>
      <c r="F427" s="294"/>
      <c r="G427" s="58" t="s">
        <v>395</v>
      </c>
      <c r="H427" s="72" t="s">
        <v>40</v>
      </c>
      <c r="I427" s="75">
        <f>D426</f>
        <v>1</v>
      </c>
      <c r="J427" s="59">
        <v>500</v>
      </c>
      <c r="K427" s="75">
        <f t="shared" si="139"/>
        <v>500</v>
      </c>
      <c r="L427" s="271"/>
      <c r="M427" s="206"/>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spans="1:37" s="4" customFormat="1" outlineLevel="1" x14ac:dyDescent="0.25">
      <c r="A428" s="289">
        <v>27</v>
      </c>
      <c r="B428" s="251" t="s">
        <v>410</v>
      </c>
      <c r="C428" s="297" t="s">
        <v>40</v>
      </c>
      <c r="D428" s="293">
        <v>1</v>
      </c>
      <c r="E428" s="295">
        <v>1500</v>
      </c>
      <c r="F428" s="293">
        <f t="shared" ref="F428" si="140">E428*D428</f>
        <v>1500</v>
      </c>
      <c r="G428" s="56" t="s">
        <v>411</v>
      </c>
      <c r="H428" s="70" t="s">
        <v>40</v>
      </c>
      <c r="I428" s="73">
        <f>D428</f>
        <v>1</v>
      </c>
      <c r="J428" s="76">
        <v>12000</v>
      </c>
      <c r="K428" s="73">
        <f t="shared" si="139"/>
        <v>12000</v>
      </c>
      <c r="L428" s="269">
        <f>SUM(K428:K429,F428)</f>
        <v>14000</v>
      </c>
      <c r="M428" s="206"/>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spans="1:37" s="4" customFormat="1" ht="12.6" outlineLevel="1" thickBot="1" x14ac:dyDescent="0.3">
      <c r="A429" s="290"/>
      <c r="B429" s="253"/>
      <c r="C429" s="298"/>
      <c r="D429" s="294"/>
      <c r="E429" s="296"/>
      <c r="F429" s="294"/>
      <c r="G429" s="58" t="s">
        <v>395</v>
      </c>
      <c r="H429" s="72" t="s">
        <v>40</v>
      </c>
      <c r="I429" s="75">
        <f>D428</f>
        <v>1</v>
      </c>
      <c r="J429" s="59">
        <v>500</v>
      </c>
      <c r="K429" s="75">
        <f t="shared" si="139"/>
        <v>500</v>
      </c>
      <c r="L429" s="271"/>
      <c r="M429" s="206"/>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spans="1:37" s="4" customFormat="1" outlineLevel="1" x14ac:dyDescent="0.25">
      <c r="A430" s="289">
        <v>28</v>
      </c>
      <c r="B430" s="251" t="s">
        <v>412</v>
      </c>
      <c r="C430" s="297" t="s">
        <v>40</v>
      </c>
      <c r="D430" s="293">
        <v>1</v>
      </c>
      <c r="E430" s="295">
        <v>2500</v>
      </c>
      <c r="F430" s="293">
        <f t="shared" ref="F430" si="141">E430*D430</f>
        <v>2500</v>
      </c>
      <c r="G430" s="56" t="s">
        <v>411</v>
      </c>
      <c r="H430" s="70" t="s">
        <v>40</v>
      </c>
      <c r="I430" s="73">
        <f>D430</f>
        <v>1</v>
      </c>
      <c r="J430" s="76">
        <v>25000</v>
      </c>
      <c r="K430" s="73">
        <f t="shared" ref="K430:K431" si="142">J430*I430</f>
        <v>25000</v>
      </c>
      <c r="L430" s="269">
        <f>SUM(K430:K431,F430)</f>
        <v>29000</v>
      </c>
      <c r="M430" s="206"/>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pans="1:37" s="4" customFormat="1" ht="12.6" outlineLevel="1" thickBot="1" x14ac:dyDescent="0.3">
      <c r="A431" s="290"/>
      <c r="B431" s="253"/>
      <c r="C431" s="298"/>
      <c r="D431" s="294"/>
      <c r="E431" s="296"/>
      <c r="F431" s="294"/>
      <c r="G431" s="58" t="s">
        <v>395</v>
      </c>
      <c r="H431" s="72" t="s">
        <v>40</v>
      </c>
      <c r="I431" s="75">
        <f>D430</f>
        <v>1</v>
      </c>
      <c r="J431" s="59">
        <v>1500</v>
      </c>
      <c r="K431" s="75">
        <f t="shared" si="142"/>
        <v>1500</v>
      </c>
      <c r="L431" s="271"/>
      <c r="M431" s="206"/>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spans="1:37" s="4" customFormat="1" outlineLevel="1" x14ac:dyDescent="0.25">
      <c r="A432" s="289">
        <v>29</v>
      </c>
      <c r="B432" s="251" t="s">
        <v>414</v>
      </c>
      <c r="C432" s="297" t="s">
        <v>40</v>
      </c>
      <c r="D432" s="293">
        <v>1</v>
      </c>
      <c r="E432" s="295">
        <v>1500</v>
      </c>
      <c r="F432" s="293">
        <f t="shared" ref="F432" si="143">E432*D432</f>
        <v>1500</v>
      </c>
      <c r="G432" s="56" t="s">
        <v>415</v>
      </c>
      <c r="H432" s="70" t="s">
        <v>40</v>
      </c>
      <c r="I432" s="73">
        <f>D432</f>
        <v>1</v>
      </c>
      <c r="J432" s="76">
        <v>6000</v>
      </c>
      <c r="K432" s="73">
        <f t="shared" ref="K432:K449" si="144">J432*I432</f>
        <v>6000</v>
      </c>
      <c r="L432" s="269">
        <f>SUM(K432:K433,F432)</f>
        <v>8000</v>
      </c>
      <c r="M432" s="206"/>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spans="1:37" s="4" customFormat="1" ht="12.6" outlineLevel="1" thickBot="1" x14ac:dyDescent="0.3">
      <c r="A433" s="290"/>
      <c r="B433" s="253"/>
      <c r="C433" s="298"/>
      <c r="D433" s="294"/>
      <c r="E433" s="296"/>
      <c r="F433" s="294"/>
      <c r="G433" s="58" t="s">
        <v>395</v>
      </c>
      <c r="H433" s="72" t="s">
        <v>40</v>
      </c>
      <c r="I433" s="75">
        <f>D432</f>
        <v>1</v>
      </c>
      <c r="J433" s="59">
        <v>500</v>
      </c>
      <c r="K433" s="75">
        <f t="shared" si="144"/>
        <v>500</v>
      </c>
      <c r="L433" s="271"/>
      <c r="M433" s="206"/>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spans="1:37" s="4" customFormat="1" outlineLevel="1" x14ac:dyDescent="0.25">
      <c r="A434" s="289">
        <v>30</v>
      </c>
      <c r="B434" s="251" t="s">
        <v>419</v>
      </c>
      <c r="C434" s="297" t="s">
        <v>40</v>
      </c>
      <c r="D434" s="293">
        <v>1</v>
      </c>
      <c r="E434" s="295">
        <v>1200</v>
      </c>
      <c r="F434" s="293">
        <f t="shared" ref="F434" si="145">E434*D434</f>
        <v>1200</v>
      </c>
      <c r="G434" s="56" t="s">
        <v>416</v>
      </c>
      <c r="H434" s="70" t="s">
        <v>40</v>
      </c>
      <c r="I434" s="73">
        <f>D434</f>
        <v>1</v>
      </c>
      <c r="J434" s="76">
        <v>5500</v>
      </c>
      <c r="K434" s="73">
        <f t="shared" si="144"/>
        <v>5500</v>
      </c>
      <c r="L434" s="269">
        <f>SUM(K434:K435,F434)</f>
        <v>7200</v>
      </c>
      <c r="M434" s="206"/>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spans="1:37" s="4" customFormat="1" ht="12.6" outlineLevel="1" thickBot="1" x14ac:dyDescent="0.3">
      <c r="A435" s="290"/>
      <c r="B435" s="253"/>
      <c r="C435" s="298"/>
      <c r="D435" s="294"/>
      <c r="E435" s="296"/>
      <c r="F435" s="294"/>
      <c r="G435" s="58" t="s">
        <v>395</v>
      </c>
      <c r="H435" s="72" t="s">
        <v>40</v>
      </c>
      <c r="I435" s="75">
        <f>D434</f>
        <v>1</v>
      </c>
      <c r="J435" s="59">
        <v>500</v>
      </c>
      <c r="K435" s="75">
        <f t="shared" si="144"/>
        <v>500</v>
      </c>
      <c r="L435" s="271"/>
      <c r="M435" s="206"/>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spans="1:37" s="4" customFormat="1" outlineLevel="1" x14ac:dyDescent="0.25">
      <c r="A436" s="289">
        <v>31</v>
      </c>
      <c r="B436" s="251" t="s">
        <v>417</v>
      </c>
      <c r="C436" s="297" t="s">
        <v>40</v>
      </c>
      <c r="D436" s="293">
        <v>1</v>
      </c>
      <c r="E436" s="295">
        <v>1200</v>
      </c>
      <c r="F436" s="293">
        <f t="shared" ref="F436" si="146">E436*D436</f>
        <v>1200</v>
      </c>
      <c r="G436" s="56" t="s">
        <v>418</v>
      </c>
      <c r="H436" s="70" t="s">
        <v>40</v>
      </c>
      <c r="I436" s="73">
        <f>D436</f>
        <v>1</v>
      </c>
      <c r="J436" s="76">
        <v>3500</v>
      </c>
      <c r="K436" s="73">
        <f t="shared" si="144"/>
        <v>3500</v>
      </c>
      <c r="L436" s="269">
        <f>SUM(K436:K437,F436)</f>
        <v>5200</v>
      </c>
      <c r="M436" s="206"/>
      <c r="N436" s="3"/>
      <c r="O436" s="3"/>
      <c r="P436" s="3"/>
      <c r="Q436" s="3"/>
      <c r="R436" s="3"/>
      <c r="S436" s="3"/>
      <c r="T436" s="3"/>
      <c r="U436" s="3"/>
      <c r="V436" s="3"/>
      <c r="W436" s="3"/>
      <c r="X436" s="3"/>
      <c r="Y436" s="3"/>
      <c r="Z436" s="3"/>
      <c r="AA436" s="3"/>
      <c r="AB436" s="3"/>
      <c r="AC436" s="3"/>
      <c r="AD436" s="3"/>
      <c r="AE436" s="3"/>
      <c r="AF436" s="3"/>
      <c r="AG436" s="3"/>
      <c r="AH436" s="3"/>
      <c r="AI436" s="3"/>
      <c r="AJ436" s="3"/>
      <c r="AK436" s="3"/>
    </row>
    <row r="437" spans="1:37" s="4" customFormat="1" ht="12.6" outlineLevel="1" thickBot="1" x14ac:dyDescent="0.3">
      <c r="A437" s="290"/>
      <c r="B437" s="253"/>
      <c r="C437" s="298"/>
      <c r="D437" s="294"/>
      <c r="E437" s="296"/>
      <c r="F437" s="294"/>
      <c r="G437" s="58" t="s">
        <v>395</v>
      </c>
      <c r="H437" s="72" t="s">
        <v>40</v>
      </c>
      <c r="I437" s="75">
        <f>D436</f>
        <v>1</v>
      </c>
      <c r="J437" s="59">
        <v>500</v>
      </c>
      <c r="K437" s="75">
        <f t="shared" si="144"/>
        <v>500</v>
      </c>
      <c r="L437" s="271"/>
      <c r="M437" s="206"/>
      <c r="N437" s="3"/>
      <c r="O437" s="3"/>
      <c r="P437" s="3"/>
      <c r="Q437" s="3"/>
      <c r="R437" s="3"/>
      <c r="S437" s="3"/>
      <c r="T437" s="3"/>
      <c r="U437" s="3"/>
      <c r="V437" s="3"/>
      <c r="W437" s="3"/>
      <c r="X437" s="3"/>
      <c r="Y437" s="3"/>
      <c r="Z437" s="3"/>
      <c r="AA437" s="3"/>
      <c r="AB437" s="3"/>
      <c r="AC437" s="3"/>
      <c r="AD437" s="3"/>
      <c r="AE437" s="3"/>
      <c r="AF437" s="3"/>
      <c r="AG437" s="3"/>
      <c r="AH437" s="3"/>
      <c r="AI437" s="3"/>
      <c r="AJ437" s="3"/>
      <c r="AK437" s="3"/>
    </row>
    <row r="438" spans="1:37" s="4" customFormat="1" outlineLevel="1" x14ac:dyDescent="0.25">
      <c r="A438" s="289">
        <v>32</v>
      </c>
      <c r="B438" s="251" t="s">
        <v>420</v>
      </c>
      <c r="C438" s="297" t="s">
        <v>40</v>
      </c>
      <c r="D438" s="293">
        <v>1</v>
      </c>
      <c r="E438" s="295">
        <v>500</v>
      </c>
      <c r="F438" s="293">
        <f t="shared" ref="F438" si="147">E438*D438</f>
        <v>500</v>
      </c>
      <c r="G438" s="56" t="s">
        <v>421</v>
      </c>
      <c r="H438" s="70" t="s">
        <v>40</v>
      </c>
      <c r="I438" s="73">
        <f>D438</f>
        <v>1</v>
      </c>
      <c r="J438" s="76">
        <v>3500</v>
      </c>
      <c r="K438" s="73">
        <f t="shared" si="144"/>
        <v>3500</v>
      </c>
      <c r="L438" s="269">
        <f>SUM(K438:K439,F438)</f>
        <v>4500</v>
      </c>
      <c r="M438" s="206"/>
      <c r="N438" s="3"/>
      <c r="O438" s="3"/>
      <c r="P438" s="3"/>
      <c r="Q438" s="3"/>
      <c r="R438" s="3"/>
      <c r="S438" s="3"/>
      <c r="T438" s="3"/>
      <c r="U438" s="3"/>
      <c r="V438" s="3"/>
      <c r="W438" s="3"/>
      <c r="X438" s="3"/>
      <c r="Y438" s="3"/>
      <c r="Z438" s="3"/>
      <c r="AA438" s="3"/>
      <c r="AB438" s="3"/>
      <c r="AC438" s="3"/>
      <c r="AD438" s="3"/>
      <c r="AE438" s="3"/>
      <c r="AF438" s="3"/>
      <c r="AG438" s="3"/>
      <c r="AH438" s="3"/>
      <c r="AI438" s="3"/>
      <c r="AJ438" s="3"/>
      <c r="AK438" s="3"/>
    </row>
    <row r="439" spans="1:37" s="4" customFormat="1" ht="12.6" outlineLevel="1" thickBot="1" x14ac:dyDescent="0.3">
      <c r="A439" s="290"/>
      <c r="B439" s="253"/>
      <c r="C439" s="298"/>
      <c r="D439" s="294"/>
      <c r="E439" s="296"/>
      <c r="F439" s="294"/>
      <c r="G439" s="58" t="s">
        <v>395</v>
      </c>
      <c r="H439" s="72" t="s">
        <v>40</v>
      </c>
      <c r="I439" s="75">
        <f>D438</f>
        <v>1</v>
      </c>
      <c r="J439" s="59">
        <v>500</v>
      </c>
      <c r="K439" s="75">
        <f t="shared" si="144"/>
        <v>500</v>
      </c>
      <c r="L439" s="271"/>
      <c r="M439" s="206"/>
      <c r="N439" s="3"/>
      <c r="O439" s="3"/>
      <c r="P439" s="3"/>
      <c r="Q439" s="3"/>
      <c r="R439" s="3"/>
      <c r="S439" s="3"/>
      <c r="T439" s="3"/>
      <c r="U439" s="3"/>
      <c r="V439" s="3"/>
      <c r="W439" s="3"/>
      <c r="X439" s="3"/>
      <c r="Y439" s="3"/>
      <c r="Z439" s="3"/>
      <c r="AA439" s="3"/>
      <c r="AB439" s="3"/>
      <c r="AC439" s="3"/>
      <c r="AD439" s="3"/>
      <c r="AE439" s="3"/>
      <c r="AF439" s="3"/>
      <c r="AG439" s="3"/>
      <c r="AH439" s="3"/>
      <c r="AI439" s="3"/>
      <c r="AJ439" s="3"/>
      <c r="AK439" s="3"/>
    </row>
    <row r="440" spans="1:37" s="4" customFormat="1" outlineLevel="1" x14ac:dyDescent="0.25">
      <c r="A440" s="289">
        <v>33</v>
      </c>
      <c r="B440" s="251" t="s">
        <v>422</v>
      </c>
      <c r="C440" s="297" t="s">
        <v>40</v>
      </c>
      <c r="D440" s="293">
        <v>1</v>
      </c>
      <c r="E440" s="295">
        <v>2200</v>
      </c>
      <c r="F440" s="293">
        <f t="shared" ref="F440" si="148">E440*D440</f>
        <v>2200</v>
      </c>
      <c r="G440" s="56" t="s">
        <v>423</v>
      </c>
      <c r="H440" s="70" t="s">
        <v>40</v>
      </c>
      <c r="I440" s="73">
        <f>D440</f>
        <v>1</v>
      </c>
      <c r="J440" s="76">
        <v>15000</v>
      </c>
      <c r="K440" s="73">
        <f t="shared" ref="K440:K447" si="149">J440*I440</f>
        <v>15000</v>
      </c>
      <c r="L440" s="269">
        <f>SUM(K440:K441,F440)</f>
        <v>17700</v>
      </c>
      <c r="M440" s="206"/>
      <c r="N440" s="3"/>
      <c r="O440" s="3"/>
      <c r="P440" s="3"/>
      <c r="Q440" s="3"/>
      <c r="R440" s="3"/>
      <c r="S440" s="3"/>
      <c r="T440" s="3"/>
      <c r="U440" s="3"/>
      <c r="V440" s="3"/>
      <c r="W440" s="3"/>
      <c r="X440" s="3"/>
      <c r="Y440" s="3"/>
      <c r="Z440" s="3"/>
      <c r="AA440" s="3"/>
      <c r="AB440" s="3"/>
      <c r="AC440" s="3"/>
      <c r="AD440" s="3"/>
      <c r="AE440" s="3"/>
      <c r="AF440" s="3"/>
      <c r="AG440" s="3"/>
      <c r="AH440" s="3"/>
      <c r="AI440" s="3"/>
      <c r="AJ440" s="3"/>
      <c r="AK440" s="3"/>
    </row>
    <row r="441" spans="1:37" s="4" customFormat="1" ht="12.6" outlineLevel="1" thickBot="1" x14ac:dyDescent="0.3">
      <c r="A441" s="290"/>
      <c r="B441" s="253"/>
      <c r="C441" s="298"/>
      <c r="D441" s="294"/>
      <c r="E441" s="296"/>
      <c r="F441" s="294"/>
      <c r="G441" s="58" t="s">
        <v>395</v>
      </c>
      <c r="H441" s="72" t="s">
        <v>40</v>
      </c>
      <c r="I441" s="75">
        <f>D440</f>
        <v>1</v>
      </c>
      <c r="J441" s="59">
        <v>500</v>
      </c>
      <c r="K441" s="75">
        <f t="shared" si="149"/>
        <v>500</v>
      </c>
      <c r="L441" s="271"/>
      <c r="M441" s="206"/>
      <c r="N441" s="3"/>
      <c r="O441" s="3"/>
      <c r="P441" s="3"/>
      <c r="Q441" s="3"/>
      <c r="R441" s="3"/>
      <c r="S441" s="3"/>
      <c r="T441" s="3"/>
      <c r="U441" s="3"/>
      <c r="V441" s="3"/>
      <c r="W441" s="3"/>
      <c r="X441" s="3"/>
      <c r="Y441" s="3"/>
      <c r="Z441" s="3"/>
      <c r="AA441" s="3"/>
      <c r="AB441" s="3"/>
      <c r="AC441" s="3"/>
      <c r="AD441" s="3"/>
      <c r="AE441" s="3"/>
      <c r="AF441" s="3"/>
      <c r="AG441" s="3"/>
      <c r="AH441" s="3"/>
      <c r="AI441" s="3"/>
      <c r="AJ441" s="3"/>
      <c r="AK441" s="3"/>
    </row>
    <row r="442" spans="1:37" s="4" customFormat="1" outlineLevel="1" x14ac:dyDescent="0.25">
      <c r="A442" s="289">
        <v>34</v>
      </c>
      <c r="B442" s="251" t="s">
        <v>424</v>
      </c>
      <c r="C442" s="297" t="s">
        <v>40</v>
      </c>
      <c r="D442" s="293">
        <v>1</v>
      </c>
      <c r="E442" s="295">
        <v>800</v>
      </c>
      <c r="F442" s="293">
        <f t="shared" ref="F442" si="150">E442*D442</f>
        <v>800</v>
      </c>
      <c r="G442" s="56" t="s">
        <v>425</v>
      </c>
      <c r="H442" s="70" t="s">
        <v>40</v>
      </c>
      <c r="I442" s="73">
        <f>D442</f>
        <v>1</v>
      </c>
      <c r="J442" s="76">
        <v>10000</v>
      </c>
      <c r="K442" s="73">
        <f t="shared" si="149"/>
        <v>10000</v>
      </c>
      <c r="L442" s="269">
        <f>SUM(K442:K443,F442)</f>
        <v>11300</v>
      </c>
      <c r="M442" s="206"/>
      <c r="N442" s="3"/>
      <c r="O442" s="3"/>
      <c r="P442" s="3"/>
      <c r="Q442" s="3"/>
      <c r="R442" s="3"/>
      <c r="S442" s="3"/>
      <c r="T442" s="3"/>
      <c r="U442" s="3"/>
      <c r="V442" s="3"/>
      <c r="W442" s="3"/>
      <c r="X442" s="3"/>
      <c r="Y442" s="3"/>
      <c r="Z442" s="3"/>
      <c r="AA442" s="3"/>
      <c r="AB442" s="3"/>
      <c r="AC442" s="3"/>
      <c r="AD442" s="3"/>
      <c r="AE442" s="3"/>
      <c r="AF442" s="3"/>
      <c r="AG442" s="3"/>
      <c r="AH442" s="3"/>
      <c r="AI442" s="3"/>
      <c r="AJ442" s="3"/>
      <c r="AK442" s="3"/>
    </row>
    <row r="443" spans="1:37" s="4" customFormat="1" ht="12.6" outlineLevel="1" thickBot="1" x14ac:dyDescent="0.3">
      <c r="A443" s="290"/>
      <c r="B443" s="253"/>
      <c r="C443" s="298"/>
      <c r="D443" s="294"/>
      <c r="E443" s="296"/>
      <c r="F443" s="294"/>
      <c r="G443" s="58" t="s">
        <v>395</v>
      </c>
      <c r="H443" s="72" t="s">
        <v>40</v>
      </c>
      <c r="I443" s="75">
        <f>D442</f>
        <v>1</v>
      </c>
      <c r="J443" s="59">
        <v>500</v>
      </c>
      <c r="K443" s="75">
        <f t="shared" si="149"/>
        <v>500</v>
      </c>
      <c r="L443" s="271"/>
      <c r="M443" s="206"/>
      <c r="N443" s="3"/>
      <c r="O443" s="3"/>
      <c r="P443" s="3"/>
      <c r="Q443" s="3"/>
      <c r="R443" s="3"/>
      <c r="S443" s="3"/>
      <c r="T443" s="3"/>
      <c r="U443" s="3"/>
      <c r="V443" s="3"/>
      <c r="W443" s="3"/>
      <c r="X443" s="3"/>
      <c r="Y443" s="3"/>
      <c r="Z443" s="3"/>
      <c r="AA443" s="3"/>
      <c r="AB443" s="3"/>
      <c r="AC443" s="3"/>
      <c r="AD443" s="3"/>
      <c r="AE443" s="3"/>
      <c r="AF443" s="3"/>
      <c r="AG443" s="3"/>
      <c r="AH443" s="3"/>
      <c r="AI443" s="3"/>
      <c r="AJ443" s="3"/>
      <c r="AK443" s="3"/>
    </row>
    <row r="444" spans="1:37" s="4" customFormat="1" outlineLevel="1" x14ac:dyDescent="0.25">
      <c r="A444" s="289">
        <v>35</v>
      </c>
      <c r="B444" s="251" t="s">
        <v>426</v>
      </c>
      <c r="C444" s="297" t="s">
        <v>40</v>
      </c>
      <c r="D444" s="293">
        <v>1</v>
      </c>
      <c r="E444" s="295">
        <v>800</v>
      </c>
      <c r="F444" s="293">
        <f t="shared" ref="F444" si="151">E444*D444</f>
        <v>800</v>
      </c>
      <c r="G444" s="56" t="s">
        <v>427</v>
      </c>
      <c r="H444" s="70" t="s">
        <v>40</v>
      </c>
      <c r="I444" s="73">
        <f>D444</f>
        <v>1</v>
      </c>
      <c r="J444" s="76">
        <v>12000</v>
      </c>
      <c r="K444" s="73">
        <f t="shared" si="149"/>
        <v>12000</v>
      </c>
      <c r="L444" s="269">
        <f>SUM(K444:K445,F444)</f>
        <v>13300</v>
      </c>
      <c r="M444" s="206"/>
      <c r="N444" s="3"/>
      <c r="O444" s="3"/>
      <c r="P444" s="3"/>
      <c r="Q444" s="3"/>
      <c r="R444" s="3"/>
      <c r="S444" s="3"/>
      <c r="T444" s="3"/>
      <c r="U444" s="3"/>
      <c r="V444" s="3"/>
      <c r="W444" s="3"/>
      <c r="X444" s="3"/>
      <c r="Y444" s="3"/>
      <c r="Z444" s="3"/>
      <c r="AA444" s="3"/>
      <c r="AB444" s="3"/>
      <c r="AC444" s="3"/>
      <c r="AD444" s="3"/>
      <c r="AE444" s="3"/>
      <c r="AF444" s="3"/>
      <c r="AG444" s="3"/>
      <c r="AH444" s="3"/>
      <c r="AI444" s="3"/>
      <c r="AJ444" s="3"/>
      <c r="AK444" s="3"/>
    </row>
    <row r="445" spans="1:37" s="4" customFormat="1" ht="12.6" outlineLevel="1" thickBot="1" x14ac:dyDescent="0.3">
      <c r="A445" s="290"/>
      <c r="B445" s="253"/>
      <c r="C445" s="298"/>
      <c r="D445" s="294"/>
      <c r="E445" s="296"/>
      <c r="F445" s="294"/>
      <c r="G445" s="58" t="s">
        <v>395</v>
      </c>
      <c r="H445" s="72" t="s">
        <v>40</v>
      </c>
      <c r="I445" s="75">
        <f>D444</f>
        <v>1</v>
      </c>
      <c r="J445" s="59">
        <v>500</v>
      </c>
      <c r="K445" s="75">
        <f t="shared" si="149"/>
        <v>500</v>
      </c>
      <c r="L445" s="271"/>
      <c r="M445" s="206"/>
      <c r="N445" s="3"/>
      <c r="O445" s="3"/>
      <c r="P445" s="3"/>
      <c r="Q445" s="3"/>
      <c r="R445" s="3"/>
      <c r="S445" s="3"/>
      <c r="T445" s="3"/>
      <c r="U445" s="3"/>
      <c r="V445" s="3"/>
      <c r="W445" s="3"/>
      <c r="X445" s="3"/>
      <c r="Y445" s="3"/>
      <c r="Z445" s="3"/>
      <c r="AA445" s="3"/>
      <c r="AB445" s="3"/>
      <c r="AC445" s="3"/>
      <c r="AD445" s="3"/>
      <c r="AE445" s="3"/>
      <c r="AF445" s="3"/>
      <c r="AG445" s="3"/>
      <c r="AH445" s="3"/>
      <c r="AI445" s="3"/>
      <c r="AJ445" s="3"/>
      <c r="AK445" s="3"/>
    </row>
    <row r="446" spans="1:37" s="4" customFormat="1" outlineLevel="1" x14ac:dyDescent="0.25">
      <c r="A446" s="289">
        <v>36</v>
      </c>
      <c r="B446" s="251" t="s">
        <v>428</v>
      </c>
      <c r="C446" s="297" t="s">
        <v>40</v>
      </c>
      <c r="D446" s="293">
        <v>1</v>
      </c>
      <c r="E446" s="295">
        <v>1200</v>
      </c>
      <c r="F446" s="293">
        <f t="shared" ref="F446" si="152">E446*D446</f>
        <v>1200</v>
      </c>
      <c r="G446" s="56" t="s">
        <v>429</v>
      </c>
      <c r="H446" s="70" t="s">
        <v>40</v>
      </c>
      <c r="I446" s="73">
        <f>D446</f>
        <v>1</v>
      </c>
      <c r="J446" s="76">
        <v>5500</v>
      </c>
      <c r="K446" s="73">
        <f t="shared" si="149"/>
        <v>5500</v>
      </c>
      <c r="L446" s="269">
        <f>SUM(K446:K447,F446)</f>
        <v>7200</v>
      </c>
      <c r="M446" s="206"/>
      <c r="N446" s="3"/>
      <c r="O446" s="3"/>
      <c r="P446" s="3"/>
      <c r="Q446" s="3"/>
      <c r="R446" s="3"/>
      <c r="S446" s="3"/>
      <c r="T446" s="3"/>
      <c r="U446" s="3"/>
      <c r="V446" s="3"/>
      <c r="W446" s="3"/>
      <c r="X446" s="3"/>
      <c r="Y446" s="3"/>
      <c r="Z446" s="3"/>
      <c r="AA446" s="3"/>
      <c r="AB446" s="3"/>
      <c r="AC446" s="3"/>
      <c r="AD446" s="3"/>
      <c r="AE446" s="3"/>
      <c r="AF446" s="3"/>
      <c r="AG446" s="3"/>
      <c r="AH446" s="3"/>
      <c r="AI446" s="3"/>
      <c r="AJ446" s="3"/>
      <c r="AK446" s="3"/>
    </row>
    <row r="447" spans="1:37" s="4" customFormat="1" ht="12.6" outlineLevel="1" thickBot="1" x14ac:dyDescent="0.3">
      <c r="A447" s="290"/>
      <c r="B447" s="253"/>
      <c r="C447" s="298"/>
      <c r="D447" s="294"/>
      <c r="E447" s="296"/>
      <c r="F447" s="294"/>
      <c r="G447" s="58" t="s">
        <v>395</v>
      </c>
      <c r="H447" s="72" t="s">
        <v>40</v>
      </c>
      <c r="I447" s="75">
        <f>D446</f>
        <v>1</v>
      </c>
      <c r="J447" s="59">
        <v>500</v>
      </c>
      <c r="K447" s="75">
        <f t="shared" si="149"/>
        <v>500</v>
      </c>
      <c r="L447" s="271"/>
      <c r="M447" s="206"/>
      <c r="N447" s="3"/>
      <c r="O447" s="3"/>
      <c r="P447" s="3"/>
      <c r="Q447" s="3"/>
      <c r="R447" s="3"/>
      <c r="S447" s="3"/>
      <c r="T447" s="3"/>
      <c r="U447" s="3"/>
      <c r="V447" s="3"/>
      <c r="W447" s="3"/>
      <c r="X447" s="3"/>
      <c r="Y447" s="3"/>
      <c r="Z447" s="3"/>
      <c r="AA447" s="3"/>
      <c r="AB447" s="3"/>
      <c r="AC447" s="3"/>
      <c r="AD447" s="3"/>
      <c r="AE447" s="3"/>
      <c r="AF447" s="3"/>
      <c r="AG447" s="3"/>
      <c r="AH447" s="3"/>
      <c r="AI447" s="3"/>
      <c r="AJ447" s="3"/>
      <c r="AK447" s="3"/>
    </row>
    <row r="448" spans="1:37" s="4" customFormat="1" outlineLevel="1" x14ac:dyDescent="0.25">
      <c r="A448" s="289">
        <v>37</v>
      </c>
      <c r="B448" s="251" t="s">
        <v>430</v>
      </c>
      <c r="C448" s="297" t="s">
        <v>40</v>
      </c>
      <c r="D448" s="293">
        <v>1</v>
      </c>
      <c r="E448" s="295">
        <v>1500</v>
      </c>
      <c r="F448" s="293">
        <f t="shared" ref="F448" si="153">E448*D448</f>
        <v>1500</v>
      </c>
      <c r="G448" s="56" t="s">
        <v>431</v>
      </c>
      <c r="H448" s="70" t="s">
        <v>40</v>
      </c>
      <c r="I448" s="73">
        <f>D448</f>
        <v>1</v>
      </c>
      <c r="J448" s="76">
        <v>3500</v>
      </c>
      <c r="K448" s="73">
        <f t="shared" si="144"/>
        <v>3500</v>
      </c>
      <c r="L448" s="269">
        <f>SUM(K448:K449,F448)</f>
        <v>5500</v>
      </c>
      <c r="M448" s="206"/>
      <c r="N448" s="3"/>
      <c r="O448" s="3"/>
      <c r="P448" s="3"/>
      <c r="Q448" s="3"/>
      <c r="R448" s="3"/>
      <c r="S448" s="3"/>
      <c r="T448" s="3"/>
      <c r="U448" s="3"/>
      <c r="V448" s="3"/>
      <c r="W448" s="3"/>
      <c r="X448" s="3"/>
      <c r="Y448" s="3"/>
      <c r="Z448" s="3"/>
      <c r="AA448" s="3"/>
      <c r="AB448" s="3"/>
      <c r="AC448" s="3"/>
      <c r="AD448" s="3"/>
      <c r="AE448" s="3"/>
      <c r="AF448" s="3"/>
      <c r="AG448" s="3"/>
      <c r="AH448" s="3"/>
      <c r="AI448" s="3"/>
      <c r="AJ448" s="3"/>
      <c r="AK448" s="3"/>
    </row>
    <row r="449" spans="1:37" s="4" customFormat="1" ht="12.6" outlineLevel="1" thickBot="1" x14ac:dyDescent="0.3">
      <c r="A449" s="290"/>
      <c r="B449" s="253"/>
      <c r="C449" s="298"/>
      <c r="D449" s="294"/>
      <c r="E449" s="296"/>
      <c r="F449" s="294"/>
      <c r="G449" s="58" t="s">
        <v>395</v>
      </c>
      <c r="H449" s="72" t="s">
        <v>40</v>
      </c>
      <c r="I449" s="75">
        <f>D448</f>
        <v>1</v>
      </c>
      <c r="J449" s="59">
        <v>500</v>
      </c>
      <c r="K449" s="75">
        <f t="shared" si="144"/>
        <v>500</v>
      </c>
      <c r="L449" s="271"/>
      <c r="M449" s="206"/>
      <c r="N449" s="3"/>
      <c r="O449" s="3"/>
      <c r="P449" s="3"/>
      <c r="Q449" s="3"/>
      <c r="R449" s="3"/>
      <c r="S449" s="3"/>
      <c r="T449" s="3"/>
      <c r="U449" s="3"/>
      <c r="V449" s="3"/>
      <c r="W449" s="3"/>
      <c r="X449" s="3"/>
      <c r="Y449" s="3"/>
      <c r="Z449" s="3"/>
      <c r="AA449" s="3"/>
      <c r="AB449" s="3"/>
      <c r="AC449" s="3"/>
      <c r="AD449" s="3"/>
      <c r="AE449" s="3"/>
      <c r="AF449" s="3"/>
      <c r="AG449" s="3"/>
      <c r="AH449" s="3"/>
      <c r="AI449" s="3"/>
      <c r="AJ449" s="3"/>
      <c r="AK449" s="3"/>
    </row>
    <row r="450" spans="1:37" s="4" customFormat="1" outlineLevel="1" x14ac:dyDescent="0.25">
      <c r="A450" s="289">
        <v>38</v>
      </c>
      <c r="B450" s="251" t="s">
        <v>432</v>
      </c>
      <c r="C450" s="297" t="s">
        <v>12</v>
      </c>
      <c r="D450" s="293">
        <v>1</v>
      </c>
      <c r="E450" s="295">
        <v>500</v>
      </c>
      <c r="F450" s="293">
        <f t="shared" ref="F450" si="154">E450*D450</f>
        <v>500</v>
      </c>
      <c r="G450" s="56" t="s">
        <v>433</v>
      </c>
      <c r="H450" s="70" t="s">
        <v>14</v>
      </c>
      <c r="I450" s="73">
        <f>D450*7</f>
        <v>7</v>
      </c>
      <c r="J450" s="76">
        <v>80</v>
      </c>
      <c r="K450" s="73">
        <f t="shared" ref="K450:K453" si="155">J450*I450</f>
        <v>560</v>
      </c>
      <c r="L450" s="269">
        <f>SUM(K450:K451,F450)</f>
        <v>1110</v>
      </c>
      <c r="M450" s="206"/>
      <c r="N450" s="3"/>
      <c r="O450" s="3"/>
      <c r="P450" s="3"/>
      <c r="Q450" s="3"/>
      <c r="R450" s="3"/>
      <c r="S450" s="3"/>
      <c r="T450" s="3"/>
      <c r="U450" s="3"/>
      <c r="V450" s="3"/>
      <c r="W450" s="3"/>
      <c r="X450" s="3"/>
      <c r="Y450" s="3"/>
      <c r="Z450" s="3"/>
      <c r="AA450" s="3"/>
      <c r="AB450" s="3"/>
      <c r="AC450" s="3"/>
      <c r="AD450" s="3"/>
      <c r="AE450" s="3"/>
      <c r="AF450" s="3"/>
      <c r="AG450" s="3"/>
      <c r="AH450" s="3"/>
      <c r="AI450" s="3"/>
      <c r="AJ450" s="3"/>
      <c r="AK450" s="3"/>
    </row>
    <row r="451" spans="1:37" s="4" customFormat="1" ht="12.6" outlineLevel="1" thickBot="1" x14ac:dyDescent="0.3">
      <c r="A451" s="290"/>
      <c r="B451" s="253"/>
      <c r="C451" s="298"/>
      <c r="D451" s="294"/>
      <c r="E451" s="296"/>
      <c r="F451" s="294"/>
      <c r="G451" s="58" t="s">
        <v>395</v>
      </c>
      <c r="H451" s="72" t="s">
        <v>40</v>
      </c>
      <c r="I451" s="75">
        <f>D450</f>
        <v>1</v>
      </c>
      <c r="J451" s="59">
        <v>50</v>
      </c>
      <c r="K451" s="75">
        <f t="shared" si="155"/>
        <v>50</v>
      </c>
      <c r="L451" s="271"/>
      <c r="M451" s="206"/>
      <c r="N451" s="3"/>
      <c r="O451" s="3"/>
      <c r="P451" s="3"/>
      <c r="Q451" s="3"/>
      <c r="R451" s="3"/>
      <c r="S451" s="3"/>
      <c r="T451" s="3"/>
      <c r="U451" s="3"/>
      <c r="V451" s="3"/>
      <c r="W451" s="3"/>
      <c r="X451" s="3"/>
      <c r="Y451" s="3"/>
      <c r="Z451" s="3"/>
      <c r="AA451" s="3"/>
      <c r="AB451" s="3"/>
      <c r="AC451" s="3"/>
      <c r="AD451" s="3"/>
      <c r="AE451" s="3"/>
      <c r="AF451" s="3"/>
      <c r="AG451" s="3"/>
      <c r="AH451" s="3"/>
      <c r="AI451" s="3"/>
      <c r="AJ451" s="3"/>
      <c r="AK451" s="3"/>
    </row>
    <row r="452" spans="1:37" s="4" customFormat="1" outlineLevel="1" x14ac:dyDescent="0.25">
      <c r="A452" s="289">
        <v>39</v>
      </c>
      <c r="B452" s="251" t="s">
        <v>434</v>
      </c>
      <c r="C452" s="297" t="s">
        <v>40</v>
      </c>
      <c r="D452" s="293">
        <v>1</v>
      </c>
      <c r="E452" s="295">
        <v>300</v>
      </c>
      <c r="F452" s="293">
        <f t="shared" ref="F452" si="156">E452*D452</f>
        <v>300</v>
      </c>
      <c r="G452" s="56" t="s">
        <v>435</v>
      </c>
      <c r="H452" s="70" t="s">
        <v>40</v>
      </c>
      <c r="I452" s="73">
        <f>D452</f>
        <v>1</v>
      </c>
      <c r="J452" s="76">
        <v>300</v>
      </c>
      <c r="K452" s="73">
        <f t="shared" si="155"/>
        <v>300</v>
      </c>
      <c r="L452" s="269">
        <f>SUM(K452:K453,F452)</f>
        <v>630</v>
      </c>
      <c r="M452" s="206"/>
      <c r="N452" s="3"/>
      <c r="O452" s="3"/>
      <c r="P452" s="3"/>
      <c r="Q452" s="3"/>
      <c r="R452" s="3"/>
      <c r="S452" s="3"/>
      <c r="T452" s="3"/>
      <c r="U452" s="3"/>
      <c r="V452" s="3"/>
      <c r="W452" s="3"/>
      <c r="X452" s="3"/>
      <c r="Y452" s="3"/>
      <c r="Z452" s="3"/>
      <c r="AA452" s="3"/>
      <c r="AB452" s="3"/>
      <c r="AC452" s="3"/>
      <c r="AD452" s="3"/>
      <c r="AE452" s="3"/>
      <c r="AF452" s="3"/>
      <c r="AG452" s="3"/>
      <c r="AH452" s="3"/>
      <c r="AI452" s="3"/>
      <c r="AJ452" s="3"/>
      <c r="AK452" s="3"/>
    </row>
    <row r="453" spans="1:37" s="4" customFormat="1" ht="12.6" outlineLevel="1" thickBot="1" x14ac:dyDescent="0.3">
      <c r="A453" s="290"/>
      <c r="B453" s="253"/>
      <c r="C453" s="298"/>
      <c r="D453" s="294"/>
      <c r="E453" s="296"/>
      <c r="F453" s="294"/>
      <c r="G453" s="58" t="s">
        <v>395</v>
      </c>
      <c r="H453" s="72" t="s">
        <v>40</v>
      </c>
      <c r="I453" s="75">
        <f>D452</f>
        <v>1</v>
      </c>
      <c r="J453" s="59">
        <v>30</v>
      </c>
      <c r="K453" s="75">
        <f t="shared" si="155"/>
        <v>30</v>
      </c>
      <c r="L453" s="271"/>
      <c r="M453" s="206"/>
      <c r="N453" s="3"/>
      <c r="O453" s="3"/>
      <c r="P453" s="3"/>
      <c r="Q453" s="3"/>
      <c r="R453" s="3"/>
      <c r="S453" s="3"/>
      <c r="T453" s="3"/>
      <c r="U453" s="3"/>
      <c r="V453" s="3"/>
      <c r="W453" s="3"/>
      <c r="X453" s="3"/>
      <c r="Y453" s="3"/>
      <c r="Z453" s="3"/>
      <c r="AA453" s="3"/>
      <c r="AB453" s="3"/>
      <c r="AC453" s="3"/>
      <c r="AD453" s="3"/>
      <c r="AE453" s="3"/>
      <c r="AF453" s="3"/>
      <c r="AG453" s="3"/>
      <c r="AH453" s="3"/>
      <c r="AI453" s="3"/>
      <c r="AJ453" s="3"/>
      <c r="AK453" s="3"/>
    </row>
    <row r="454" spans="1:37" s="4" customFormat="1" outlineLevel="1" x14ac:dyDescent="0.25">
      <c r="A454" s="289">
        <v>40</v>
      </c>
      <c r="B454" s="251" t="s">
        <v>436</v>
      </c>
      <c r="C454" s="297" t="s">
        <v>40</v>
      </c>
      <c r="D454" s="293">
        <v>1</v>
      </c>
      <c r="E454" s="295">
        <v>1500</v>
      </c>
      <c r="F454" s="293">
        <f t="shared" ref="F454" si="157">E454*D454</f>
        <v>1500</v>
      </c>
      <c r="G454" s="56" t="s">
        <v>437</v>
      </c>
      <c r="H454" s="70" t="s">
        <v>40</v>
      </c>
      <c r="I454" s="73">
        <f>D454</f>
        <v>1</v>
      </c>
      <c r="J454" s="76">
        <v>7500</v>
      </c>
      <c r="K454" s="73">
        <f t="shared" ref="K454:K455" si="158">J454*I454</f>
        <v>7500</v>
      </c>
      <c r="L454" s="269">
        <f>SUM(K454:K455,F454)</f>
        <v>9500</v>
      </c>
      <c r="M454" s="206"/>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37" s="4" customFormat="1" ht="12.6" outlineLevel="1" thickBot="1" x14ac:dyDescent="0.3">
      <c r="A455" s="290"/>
      <c r="B455" s="253"/>
      <c r="C455" s="298"/>
      <c r="D455" s="294"/>
      <c r="E455" s="296"/>
      <c r="F455" s="294"/>
      <c r="G455" s="58" t="s">
        <v>395</v>
      </c>
      <c r="H455" s="72" t="s">
        <v>40</v>
      </c>
      <c r="I455" s="75">
        <f>D454</f>
        <v>1</v>
      </c>
      <c r="J455" s="59">
        <v>500</v>
      </c>
      <c r="K455" s="75">
        <f t="shared" si="158"/>
        <v>500</v>
      </c>
      <c r="L455" s="271"/>
      <c r="M455" s="206"/>
      <c r="N455" s="3"/>
      <c r="O455" s="3"/>
      <c r="P455" s="3"/>
      <c r="Q455" s="3"/>
      <c r="R455" s="3"/>
      <c r="S455" s="3"/>
      <c r="T455" s="3"/>
      <c r="U455" s="3"/>
      <c r="V455" s="3"/>
      <c r="W455" s="3"/>
      <c r="X455" s="3"/>
      <c r="Y455" s="3"/>
      <c r="Z455" s="3"/>
      <c r="AA455" s="3"/>
      <c r="AB455" s="3"/>
      <c r="AC455" s="3"/>
      <c r="AD455" s="3"/>
      <c r="AE455" s="3"/>
      <c r="AF455" s="3"/>
      <c r="AG455" s="3"/>
      <c r="AH455" s="3"/>
      <c r="AI455" s="3"/>
      <c r="AJ455" s="3"/>
      <c r="AK455" s="3"/>
    </row>
    <row r="456" spans="1:37" s="4" customFormat="1" ht="12.6" thickBot="1" x14ac:dyDescent="0.3">
      <c r="A456" s="222" t="s">
        <v>445</v>
      </c>
      <c r="B456" s="223"/>
      <c r="C456" s="223"/>
      <c r="D456" s="223"/>
      <c r="E456" s="223"/>
      <c r="F456" s="150">
        <f>SUM(F376:F455)</f>
        <v>30845</v>
      </c>
      <c r="G456" s="232" t="s">
        <v>444</v>
      </c>
      <c r="H456" s="233"/>
      <c r="I456" s="233"/>
      <c r="J456" s="234"/>
      <c r="K456" s="150">
        <f>SUM(K376:K455)</f>
        <v>141627</v>
      </c>
      <c r="L456" s="156"/>
      <c r="M456" s="206"/>
      <c r="N456" s="3"/>
      <c r="O456" s="3"/>
      <c r="P456" s="3"/>
      <c r="Q456" s="3"/>
      <c r="R456" s="3"/>
      <c r="S456" s="3"/>
      <c r="T456" s="3"/>
      <c r="U456" s="3"/>
      <c r="V456" s="3"/>
      <c r="W456" s="3"/>
      <c r="X456" s="3"/>
      <c r="Y456" s="3"/>
      <c r="Z456" s="3"/>
      <c r="AA456" s="3"/>
      <c r="AB456" s="3"/>
      <c r="AC456" s="3"/>
      <c r="AD456" s="3"/>
      <c r="AE456" s="3"/>
      <c r="AF456" s="3"/>
      <c r="AG456" s="3"/>
      <c r="AH456" s="3"/>
      <c r="AI456" s="3"/>
      <c r="AJ456" s="3"/>
      <c r="AK456" s="3"/>
    </row>
    <row r="457" spans="1:37" s="4" customFormat="1" ht="12.6" thickBot="1" x14ac:dyDescent="0.3">
      <c r="A457" s="142"/>
      <c r="B457" s="117"/>
      <c r="C457" s="227" t="s">
        <v>443</v>
      </c>
      <c r="D457" s="227"/>
      <c r="E457" s="227"/>
      <c r="F457" s="25">
        <f>F456+F372+F321+F247+F187+F51</f>
        <v>136140</v>
      </c>
      <c r="G457" s="240" t="s">
        <v>446</v>
      </c>
      <c r="H457" s="240"/>
      <c r="I457" s="240"/>
      <c r="J457" s="240"/>
      <c r="K457" s="241"/>
      <c r="L457" s="153">
        <f>SUM(L376:L455)</f>
        <v>172472</v>
      </c>
      <c r="M457" s="206"/>
      <c r="N457" s="3"/>
      <c r="O457" s="3"/>
      <c r="P457" s="3"/>
      <c r="Q457" s="3"/>
      <c r="R457" s="3"/>
      <c r="S457" s="3"/>
      <c r="T457" s="3"/>
      <c r="U457" s="3"/>
      <c r="V457" s="3"/>
      <c r="W457" s="3"/>
      <c r="X457" s="3"/>
      <c r="Y457" s="3"/>
      <c r="Z457" s="3"/>
      <c r="AA457" s="3"/>
      <c r="AB457" s="3"/>
      <c r="AC457" s="3"/>
      <c r="AD457" s="3"/>
      <c r="AE457" s="3"/>
      <c r="AF457" s="3"/>
      <c r="AG457" s="3"/>
      <c r="AH457" s="3"/>
      <c r="AI457" s="3"/>
      <c r="AJ457" s="3"/>
      <c r="AK457" s="3"/>
    </row>
    <row r="458" spans="1:37" s="4" customFormat="1" x14ac:dyDescent="0.25">
      <c r="A458" s="142"/>
      <c r="B458" s="117"/>
      <c r="C458" s="24"/>
      <c r="D458" s="25"/>
      <c r="E458" s="127"/>
      <c r="F458" s="25"/>
      <c r="G458" s="128"/>
      <c r="H458" s="129"/>
      <c r="I458" s="130"/>
      <c r="J458" s="131"/>
      <c r="K458" s="130"/>
      <c r="L458" s="146"/>
      <c r="M458" s="206"/>
      <c r="N458" s="3"/>
      <c r="O458" s="3"/>
      <c r="P458" s="3"/>
      <c r="Q458" s="3"/>
      <c r="R458" s="3"/>
      <c r="S458" s="3"/>
      <c r="T458" s="3"/>
      <c r="U458" s="3"/>
      <c r="V458" s="3"/>
      <c r="W458" s="3"/>
      <c r="X458" s="3"/>
      <c r="Y458" s="3"/>
      <c r="Z458" s="3"/>
      <c r="AA458" s="3"/>
      <c r="AB458" s="3"/>
      <c r="AC458" s="3"/>
      <c r="AD458" s="3"/>
      <c r="AE458" s="3"/>
      <c r="AF458" s="3"/>
      <c r="AG458" s="3"/>
      <c r="AH458" s="3"/>
      <c r="AI458" s="3"/>
      <c r="AJ458" s="3"/>
      <c r="AK458" s="3"/>
    </row>
    <row r="459" spans="1:37" ht="15" customHeight="1" thickBot="1" x14ac:dyDescent="0.35">
      <c r="A459" s="246" t="s">
        <v>126</v>
      </c>
      <c r="B459" s="247"/>
      <c r="C459" s="247"/>
      <c r="D459" s="247"/>
      <c r="E459" s="247"/>
      <c r="F459" s="247"/>
      <c r="G459" s="247"/>
      <c r="H459" s="247"/>
      <c r="I459" s="247"/>
      <c r="J459" s="247"/>
      <c r="K459" s="247"/>
      <c r="L459" s="248"/>
      <c r="M459" s="211"/>
    </row>
    <row r="460" spans="1:37" s="4" customFormat="1" ht="24.6" outlineLevel="1" thickBot="1" x14ac:dyDescent="0.3">
      <c r="A460" s="32">
        <v>1</v>
      </c>
      <c r="B460" s="121" t="s">
        <v>440</v>
      </c>
      <c r="C460" s="122" t="s">
        <v>128</v>
      </c>
      <c r="D460" s="66">
        <v>1</v>
      </c>
      <c r="E460" s="123">
        <v>1500</v>
      </c>
      <c r="F460" s="65">
        <f t="shared" ref="F460:F465" si="159">E460*D460</f>
        <v>1500</v>
      </c>
      <c r="G460" s="121" t="s">
        <v>119</v>
      </c>
      <c r="H460" s="124" t="s">
        <v>12</v>
      </c>
      <c r="I460" s="124">
        <v>50</v>
      </c>
      <c r="J460" s="125">
        <v>10</v>
      </c>
      <c r="K460" s="66">
        <f>J460*I460</f>
        <v>500</v>
      </c>
      <c r="L460" s="39">
        <f t="shared" ref="L460:L465" si="160">SUM(K460,F460)</f>
        <v>2000</v>
      </c>
      <c r="M460" s="206"/>
      <c r="N460" s="3"/>
      <c r="O460" s="3"/>
      <c r="P460" s="3"/>
      <c r="Q460" s="3"/>
      <c r="R460" s="3"/>
      <c r="S460" s="3"/>
      <c r="T460" s="3"/>
      <c r="U460" s="3"/>
      <c r="V460" s="3"/>
      <c r="W460" s="3"/>
      <c r="X460" s="3"/>
      <c r="Y460" s="3"/>
      <c r="Z460" s="3"/>
      <c r="AA460" s="3"/>
      <c r="AB460" s="3"/>
      <c r="AC460" s="3"/>
      <c r="AD460" s="3"/>
      <c r="AE460" s="3"/>
      <c r="AF460" s="3"/>
      <c r="AG460" s="3"/>
      <c r="AH460" s="3"/>
      <c r="AI460" s="3"/>
      <c r="AJ460" s="3"/>
      <c r="AK460" s="3"/>
    </row>
    <row r="461" spans="1:37" s="4" customFormat="1" ht="12.6" outlineLevel="1" thickBot="1" x14ac:dyDescent="0.3">
      <c r="A461" s="32">
        <v>2</v>
      </c>
      <c r="B461" s="121" t="s">
        <v>441</v>
      </c>
      <c r="C461" s="122" t="s">
        <v>442</v>
      </c>
      <c r="D461" s="66">
        <v>1</v>
      </c>
      <c r="E461" s="123">
        <f>E460*0.1*D461+E460</f>
        <v>1650</v>
      </c>
      <c r="F461" s="65">
        <f t="shared" si="159"/>
        <v>1650</v>
      </c>
      <c r="G461" s="121" t="s">
        <v>119</v>
      </c>
      <c r="H461" s="124" t="s">
        <v>12</v>
      </c>
      <c r="I461" s="124">
        <f>D461*20</f>
        <v>20</v>
      </c>
      <c r="J461" s="125">
        <v>10</v>
      </c>
      <c r="K461" s="66">
        <f>J461*I461</f>
        <v>200</v>
      </c>
      <c r="L461" s="39">
        <f t="shared" si="160"/>
        <v>1850</v>
      </c>
      <c r="M461" s="206"/>
      <c r="N461" s="3"/>
      <c r="O461" s="3"/>
      <c r="P461" s="3"/>
      <c r="Q461" s="3"/>
      <c r="R461" s="3"/>
      <c r="S461" s="3"/>
      <c r="T461" s="3"/>
      <c r="U461" s="3"/>
      <c r="V461" s="3"/>
      <c r="W461" s="3"/>
      <c r="X461" s="3"/>
      <c r="Y461" s="3"/>
      <c r="Z461" s="3"/>
      <c r="AA461" s="3"/>
      <c r="AB461" s="3"/>
      <c r="AC461" s="3"/>
      <c r="AD461" s="3"/>
      <c r="AE461" s="3"/>
      <c r="AF461" s="3"/>
      <c r="AG461" s="3"/>
      <c r="AH461" s="3"/>
      <c r="AI461" s="3"/>
      <c r="AJ461" s="3"/>
      <c r="AK461" s="3"/>
    </row>
    <row r="462" spans="1:37" s="4" customFormat="1" ht="24.6" outlineLevel="1" thickBot="1" x14ac:dyDescent="0.3">
      <c r="A462" s="32">
        <v>3</v>
      </c>
      <c r="B462" s="121" t="s">
        <v>118</v>
      </c>
      <c r="C462" s="122" t="s">
        <v>12</v>
      </c>
      <c r="D462" s="66">
        <v>1</v>
      </c>
      <c r="E462" s="123">
        <v>10</v>
      </c>
      <c r="F462" s="65">
        <f t="shared" si="159"/>
        <v>10</v>
      </c>
      <c r="G462" s="121" t="s">
        <v>119</v>
      </c>
      <c r="H462" s="124" t="s">
        <v>12</v>
      </c>
      <c r="I462" s="124">
        <f>D462</f>
        <v>1</v>
      </c>
      <c r="J462" s="125">
        <v>12</v>
      </c>
      <c r="K462" s="66">
        <f>J462*I462</f>
        <v>12</v>
      </c>
      <c r="L462" s="39">
        <f t="shared" si="160"/>
        <v>22</v>
      </c>
      <c r="M462" s="206"/>
      <c r="N462" s="3"/>
      <c r="O462" s="3"/>
      <c r="P462" s="3"/>
      <c r="Q462" s="3"/>
      <c r="R462" s="3"/>
      <c r="S462" s="3"/>
      <c r="T462" s="3"/>
      <c r="U462" s="3"/>
      <c r="V462" s="3"/>
      <c r="W462" s="3"/>
      <c r="X462" s="3"/>
      <c r="Y462" s="3"/>
      <c r="Z462" s="3"/>
      <c r="AA462" s="3"/>
      <c r="AB462" s="3"/>
      <c r="AC462" s="3"/>
      <c r="AD462" s="3"/>
      <c r="AE462" s="3"/>
      <c r="AF462" s="3"/>
      <c r="AG462" s="3"/>
      <c r="AH462" s="3"/>
      <c r="AI462" s="3"/>
      <c r="AJ462" s="3"/>
      <c r="AK462" s="3"/>
    </row>
    <row r="463" spans="1:37" s="4" customFormat="1" ht="12.75" customHeight="1" outlineLevel="1" thickBot="1" x14ac:dyDescent="0.3">
      <c r="A463" s="32">
        <v>4</v>
      </c>
      <c r="B463" s="121" t="s">
        <v>127</v>
      </c>
      <c r="C463" s="122" t="s">
        <v>117</v>
      </c>
      <c r="D463" s="66">
        <v>1</v>
      </c>
      <c r="E463" s="123">
        <v>2000</v>
      </c>
      <c r="F463" s="65">
        <f t="shared" si="159"/>
        <v>2000</v>
      </c>
      <c r="G463" s="121" t="s">
        <v>173</v>
      </c>
      <c r="H463" s="124" t="s">
        <v>175</v>
      </c>
      <c r="I463" s="124">
        <v>1</v>
      </c>
      <c r="J463" s="38">
        <v>500</v>
      </c>
      <c r="K463" s="66">
        <f t="shared" ref="K463" si="161">J463*I463</f>
        <v>500</v>
      </c>
      <c r="L463" s="39">
        <f t="shared" si="160"/>
        <v>2500</v>
      </c>
      <c r="M463" s="206"/>
      <c r="N463" s="3"/>
      <c r="O463" s="3"/>
      <c r="P463" s="3"/>
      <c r="Q463" s="3"/>
      <c r="R463" s="3"/>
      <c r="S463" s="3"/>
      <c r="T463" s="3"/>
      <c r="U463" s="3"/>
      <c r="V463" s="3"/>
      <c r="W463" s="3"/>
      <c r="X463" s="3"/>
      <c r="Y463" s="3"/>
      <c r="Z463" s="3"/>
      <c r="AA463" s="3"/>
      <c r="AB463" s="3"/>
      <c r="AC463" s="3"/>
      <c r="AD463" s="3"/>
      <c r="AE463" s="3"/>
      <c r="AF463" s="3"/>
      <c r="AG463" s="3"/>
      <c r="AH463" s="3"/>
      <c r="AI463" s="3"/>
      <c r="AJ463" s="3"/>
      <c r="AK463" s="3"/>
    </row>
    <row r="464" spans="1:37" s="4" customFormat="1" ht="12.75" customHeight="1" outlineLevel="1" thickBot="1" x14ac:dyDescent="0.3">
      <c r="A464" s="32">
        <v>5</v>
      </c>
      <c r="B464" s="121" t="s">
        <v>439</v>
      </c>
      <c r="C464" s="122" t="s">
        <v>12</v>
      </c>
      <c r="D464" s="66">
        <v>1</v>
      </c>
      <c r="E464" s="123">
        <v>80</v>
      </c>
      <c r="F464" s="65">
        <f t="shared" si="159"/>
        <v>80</v>
      </c>
      <c r="G464" s="121" t="s">
        <v>173</v>
      </c>
      <c r="H464" s="124" t="s">
        <v>12</v>
      </c>
      <c r="I464" s="124">
        <v>1</v>
      </c>
      <c r="J464" s="38">
        <v>20</v>
      </c>
      <c r="K464" s="66">
        <f t="shared" ref="K464" si="162">J464*I464</f>
        <v>20</v>
      </c>
      <c r="L464" s="39">
        <f t="shared" si="160"/>
        <v>100</v>
      </c>
      <c r="M464" s="206"/>
      <c r="N464" s="3"/>
      <c r="O464" s="3"/>
      <c r="P464" s="3"/>
      <c r="Q464" s="3"/>
      <c r="R464" s="3"/>
      <c r="S464" s="3"/>
      <c r="T464" s="3"/>
      <c r="U464" s="3"/>
      <c r="V464" s="3"/>
      <c r="W464" s="3"/>
      <c r="X464" s="3"/>
      <c r="Y464" s="3"/>
      <c r="Z464" s="3"/>
      <c r="AA464" s="3"/>
      <c r="AB464" s="3"/>
      <c r="AC464" s="3"/>
      <c r="AD464" s="3"/>
      <c r="AE464" s="3"/>
      <c r="AF464" s="3"/>
      <c r="AG464" s="3"/>
      <c r="AH464" s="3"/>
      <c r="AI464" s="3"/>
      <c r="AJ464" s="3"/>
      <c r="AK464" s="3"/>
    </row>
    <row r="465" spans="1:37" s="4" customFormat="1" ht="12.6" outlineLevel="1" thickBot="1" x14ac:dyDescent="0.3">
      <c r="A465" s="32">
        <v>6</v>
      </c>
      <c r="B465" s="33" t="s">
        <v>120</v>
      </c>
      <c r="C465" s="63" t="s">
        <v>121</v>
      </c>
      <c r="D465" s="35">
        <v>1</v>
      </c>
      <c r="E465" s="36">
        <v>4000</v>
      </c>
      <c r="F465" s="65">
        <f t="shared" si="159"/>
        <v>4000</v>
      </c>
      <c r="G465" s="37"/>
      <c r="H465" s="63"/>
      <c r="I465" s="35"/>
      <c r="J465" s="38"/>
      <c r="K465" s="66"/>
      <c r="L465" s="39">
        <f t="shared" si="160"/>
        <v>4000</v>
      </c>
      <c r="M465" s="206"/>
      <c r="N465" s="3"/>
      <c r="O465" s="3"/>
      <c r="P465" s="3"/>
      <c r="Q465" s="3"/>
      <c r="R465" s="3"/>
      <c r="S465" s="3"/>
      <c r="T465" s="3"/>
      <c r="U465" s="3"/>
      <c r="V465" s="3"/>
      <c r="W465" s="3"/>
      <c r="X465" s="3"/>
      <c r="Y465" s="3"/>
      <c r="Z465" s="3"/>
      <c r="AA465" s="3"/>
      <c r="AB465" s="3"/>
      <c r="AC465" s="3"/>
      <c r="AD465" s="3"/>
      <c r="AE465" s="3"/>
      <c r="AF465" s="3"/>
      <c r="AG465" s="3"/>
      <c r="AH465" s="3"/>
      <c r="AI465" s="3"/>
      <c r="AJ465" s="3"/>
      <c r="AK465" s="3"/>
    </row>
    <row r="466" spans="1:37" s="4" customFormat="1" ht="12.6" thickBot="1" x14ac:dyDescent="0.3">
      <c r="A466" s="223" t="s">
        <v>445</v>
      </c>
      <c r="B466" s="223"/>
      <c r="C466" s="223"/>
      <c r="D466" s="223"/>
      <c r="E466" s="226"/>
      <c r="F466" s="148">
        <f>SUM(F460:F465)</f>
        <v>9240</v>
      </c>
      <c r="G466" s="229" t="s">
        <v>444</v>
      </c>
      <c r="H466" s="230"/>
      <c r="I466" s="230"/>
      <c r="J466" s="231"/>
      <c r="K466" s="151">
        <f>SUM(K460:K465)</f>
        <v>1232</v>
      </c>
      <c r="L466" s="165"/>
      <c r="M466" s="206"/>
      <c r="N466" s="3"/>
      <c r="O466" s="3"/>
      <c r="P466" s="3"/>
      <c r="Q466" s="3"/>
      <c r="R466" s="3"/>
      <c r="S466" s="3"/>
      <c r="T466" s="3"/>
      <c r="U466" s="3"/>
      <c r="V466" s="3"/>
      <c r="W466" s="3"/>
      <c r="X466" s="3"/>
      <c r="Y466" s="3"/>
      <c r="Z466" s="3"/>
      <c r="AA466" s="3"/>
      <c r="AB466" s="3"/>
      <c r="AC466" s="3"/>
      <c r="AD466" s="3"/>
      <c r="AE466" s="3"/>
      <c r="AF466" s="3"/>
      <c r="AG466" s="3"/>
      <c r="AH466" s="3"/>
      <c r="AI466" s="3"/>
      <c r="AJ466" s="3"/>
      <c r="AK466" s="3"/>
    </row>
    <row r="467" spans="1:37" ht="12.6" thickBot="1" x14ac:dyDescent="0.35">
      <c r="A467" s="27"/>
      <c r="B467" s="28"/>
      <c r="C467" s="29"/>
      <c r="D467" s="30"/>
      <c r="E467" s="30"/>
      <c r="F467" s="30"/>
      <c r="G467" s="238" t="s">
        <v>446</v>
      </c>
      <c r="H467" s="238"/>
      <c r="I467" s="238"/>
      <c r="J467" s="238"/>
      <c r="K467" s="239"/>
      <c r="L467" s="149">
        <f>SUM(L460:L466)</f>
        <v>10472</v>
      </c>
      <c r="M467" s="207"/>
    </row>
    <row r="468" spans="1:37" s="119" customFormat="1" x14ac:dyDescent="0.3">
      <c r="B468" s="31"/>
      <c r="C468" s="100"/>
      <c r="D468" s="100"/>
      <c r="G468" s="407"/>
      <c r="H468" s="407"/>
      <c r="I468" s="407"/>
      <c r="J468" s="407"/>
      <c r="K468" s="407"/>
      <c r="L468" s="407"/>
      <c r="M468" s="168"/>
    </row>
    <row r="469" spans="1:37" s="119" customFormat="1" ht="15" customHeight="1" thickBot="1" x14ac:dyDescent="0.35">
      <c r="B469" s="31"/>
      <c r="C469" s="120"/>
      <c r="D469" s="120"/>
      <c r="F469" s="407"/>
      <c r="G469" s="407"/>
      <c r="H469" s="407"/>
      <c r="I469" s="407"/>
      <c r="J469" s="407"/>
      <c r="K469" s="407"/>
      <c r="L469" s="407"/>
      <c r="M469" s="168"/>
    </row>
    <row r="470" spans="1:37" s="119" customFormat="1" ht="12.6" thickBot="1" x14ac:dyDescent="0.35">
      <c r="A470" s="214" t="s">
        <v>447</v>
      </c>
      <c r="B470" s="214"/>
      <c r="C470" s="214"/>
      <c r="D470" s="214"/>
      <c r="E470" s="228"/>
      <c r="F470" s="166">
        <f>F466+F457</f>
        <v>145380</v>
      </c>
      <c r="G470" s="278" t="s">
        <v>448</v>
      </c>
      <c r="H470" s="279"/>
      <c r="I470" s="279"/>
      <c r="J470" s="280"/>
      <c r="K470" s="167">
        <f>K466+K456+K372+K321+K247+K187+K51</f>
        <v>237016.21333333332</v>
      </c>
    </row>
    <row r="471" spans="1:37" s="119" customFormat="1" ht="12.6" thickBot="1" x14ac:dyDescent="0.35">
      <c r="B471" s="31"/>
      <c r="C471" s="118"/>
      <c r="D471" s="118"/>
      <c r="G471" s="407"/>
      <c r="H471" s="407"/>
      <c r="I471" s="407"/>
      <c r="J471" s="407"/>
      <c r="K471" s="407"/>
      <c r="L471" s="407"/>
      <c r="M471" s="168"/>
    </row>
    <row r="472" spans="1:37" ht="12.6" thickBot="1" x14ac:dyDescent="0.35">
      <c r="A472" s="214" t="s">
        <v>449</v>
      </c>
      <c r="B472" s="214"/>
      <c r="C472" s="214"/>
      <c r="D472" s="214"/>
      <c r="E472" s="214"/>
      <c r="F472" s="214"/>
      <c r="G472" s="214"/>
      <c r="H472" s="214"/>
      <c r="I472" s="214"/>
      <c r="J472" s="214"/>
      <c r="K472" s="214"/>
      <c r="L472" s="157"/>
      <c r="M472" s="209"/>
    </row>
    <row r="473" spans="1:37" x14ac:dyDescent="0.3">
      <c r="A473" s="215" t="s">
        <v>450</v>
      </c>
      <c r="B473" s="215"/>
      <c r="C473" s="215"/>
      <c r="D473" s="215"/>
      <c r="E473" s="215"/>
      <c r="F473" s="215"/>
    </row>
    <row r="474" spans="1:37" x14ac:dyDescent="0.3">
      <c r="A474" s="215" t="s">
        <v>451</v>
      </c>
      <c r="B474" s="215"/>
      <c r="C474" s="215"/>
      <c r="D474" s="215"/>
      <c r="E474" s="215"/>
      <c r="F474" s="215"/>
    </row>
    <row r="476" spans="1:37" x14ac:dyDescent="0.3">
      <c r="A476" s="215" t="s">
        <v>452</v>
      </c>
      <c r="B476" s="215"/>
      <c r="C476" s="215"/>
      <c r="D476" s="215"/>
      <c r="E476" s="215"/>
      <c r="F476" s="215"/>
    </row>
    <row r="478" spans="1:37" x14ac:dyDescent="0.3">
      <c r="A478" s="215" t="s">
        <v>453</v>
      </c>
      <c r="B478" s="215"/>
      <c r="C478" s="215"/>
      <c r="D478" s="215"/>
      <c r="E478" s="215"/>
      <c r="F478" s="215"/>
    </row>
    <row r="481" spans="1:6" x14ac:dyDescent="0.3">
      <c r="A481" s="216" t="s">
        <v>454</v>
      </c>
      <c r="B481" s="216"/>
      <c r="C481" s="216" t="s">
        <v>455</v>
      </c>
      <c r="D481" s="216"/>
      <c r="E481" s="216"/>
      <c r="F481" s="216"/>
    </row>
  </sheetData>
  <mergeCells count="806">
    <mergeCell ref="R3:S3"/>
    <mergeCell ref="V3:W3"/>
    <mergeCell ref="F469:L469"/>
    <mergeCell ref="G471:L471"/>
    <mergeCell ref="L444:L445"/>
    <mergeCell ref="A446:A447"/>
    <mergeCell ref="B446:B447"/>
    <mergeCell ref="C446:C447"/>
    <mergeCell ref="D446:D447"/>
    <mergeCell ref="E446:E447"/>
    <mergeCell ref="F446:F447"/>
    <mergeCell ref="L446:L447"/>
    <mergeCell ref="G468:L468"/>
    <mergeCell ref="A452:A453"/>
    <mergeCell ref="B452:B453"/>
    <mergeCell ref="C452:C453"/>
    <mergeCell ref="D452:D453"/>
    <mergeCell ref="E452:E453"/>
    <mergeCell ref="F452:F453"/>
    <mergeCell ref="L452:L453"/>
    <mergeCell ref="A454:A455"/>
    <mergeCell ref="B454:B455"/>
    <mergeCell ref="C454:C455"/>
    <mergeCell ref="D454:D455"/>
    <mergeCell ref="E454:E455"/>
    <mergeCell ref="F454:F455"/>
    <mergeCell ref="L454:L455"/>
    <mergeCell ref="A430:A431"/>
    <mergeCell ref="B430:B431"/>
    <mergeCell ref="C430:C431"/>
    <mergeCell ref="D430:D431"/>
    <mergeCell ref="E430:E431"/>
    <mergeCell ref="F430:F431"/>
    <mergeCell ref="L430:L431"/>
    <mergeCell ref="A448:A449"/>
    <mergeCell ref="B448:B449"/>
    <mergeCell ref="C448:C449"/>
    <mergeCell ref="D448:D449"/>
    <mergeCell ref="E448:E449"/>
    <mergeCell ref="F448:F449"/>
    <mergeCell ref="L448:L449"/>
    <mergeCell ref="A440:A441"/>
    <mergeCell ref="B440:B441"/>
    <mergeCell ref="C440:C441"/>
    <mergeCell ref="D440:D441"/>
    <mergeCell ref="E440:E441"/>
    <mergeCell ref="F440:F441"/>
    <mergeCell ref="L440:L441"/>
    <mergeCell ref="A442:A443"/>
    <mergeCell ref="B442:B443"/>
    <mergeCell ref="A450:A451"/>
    <mergeCell ref="B450:B451"/>
    <mergeCell ref="C450:C451"/>
    <mergeCell ref="D450:D451"/>
    <mergeCell ref="E450:E451"/>
    <mergeCell ref="F450:F451"/>
    <mergeCell ref="L450:L451"/>
    <mergeCell ref="D442:D443"/>
    <mergeCell ref="E442:E443"/>
    <mergeCell ref="F442:F443"/>
    <mergeCell ref="L442:L443"/>
    <mergeCell ref="A444:A445"/>
    <mergeCell ref="B444:B445"/>
    <mergeCell ref="C444:C445"/>
    <mergeCell ref="D444:D445"/>
    <mergeCell ref="E444:E445"/>
    <mergeCell ref="F444:F445"/>
    <mergeCell ref="C442:C443"/>
    <mergeCell ref="B434:B435"/>
    <mergeCell ref="C434:C435"/>
    <mergeCell ref="D434:D435"/>
    <mergeCell ref="E434:E435"/>
    <mergeCell ref="F434:F435"/>
    <mergeCell ref="L434:L435"/>
    <mergeCell ref="A436:A437"/>
    <mergeCell ref="B436:B437"/>
    <mergeCell ref="C436:C437"/>
    <mergeCell ref="D436:D437"/>
    <mergeCell ref="E436:E437"/>
    <mergeCell ref="F436:F437"/>
    <mergeCell ref="L436:L437"/>
    <mergeCell ref="A434:A435"/>
    <mergeCell ref="A438:A439"/>
    <mergeCell ref="B438:B439"/>
    <mergeCell ref="C438:C439"/>
    <mergeCell ref="D438:D439"/>
    <mergeCell ref="E438:E439"/>
    <mergeCell ref="F438:F439"/>
    <mergeCell ref="L438:L439"/>
    <mergeCell ref="D424:D425"/>
    <mergeCell ref="E424:E425"/>
    <mergeCell ref="F424:F425"/>
    <mergeCell ref="L424:L425"/>
    <mergeCell ref="A426:A427"/>
    <mergeCell ref="B426:B427"/>
    <mergeCell ref="C426:C427"/>
    <mergeCell ref="D426:D427"/>
    <mergeCell ref="E426:E427"/>
    <mergeCell ref="F426:F427"/>
    <mergeCell ref="L426:L427"/>
    <mergeCell ref="A424:A425"/>
    <mergeCell ref="B424:B425"/>
    <mergeCell ref="C424:C425"/>
    <mergeCell ref="A432:A433"/>
    <mergeCell ref="B432:B433"/>
    <mergeCell ref="C432:C433"/>
    <mergeCell ref="L167:L168"/>
    <mergeCell ref="A416:A417"/>
    <mergeCell ref="B416:B417"/>
    <mergeCell ref="C416:C417"/>
    <mergeCell ref="D416:D417"/>
    <mergeCell ref="E416:E417"/>
    <mergeCell ref="F416:F417"/>
    <mergeCell ref="L416:L417"/>
    <mergeCell ref="A420:A421"/>
    <mergeCell ref="B420:B421"/>
    <mergeCell ref="C420:C421"/>
    <mergeCell ref="D420:D421"/>
    <mergeCell ref="E420:E421"/>
    <mergeCell ref="F420:F421"/>
    <mergeCell ref="L420:L421"/>
    <mergeCell ref="A408:A409"/>
    <mergeCell ref="B408:B409"/>
    <mergeCell ref="C408:C409"/>
    <mergeCell ref="D408:D409"/>
    <mergeCell ref="E408:E409"/>
    <mergeCell ref="F408:F409"/>
    <mergeCell ref="L408:L409"/>
    <mergeCell ref="C404:C405"/>
    <mergeCell ref="D404:D405"/>
    <mergeCell ref="E404:E405"/>
    <mergeCell ref="F404:F405"/>
    <mergeCell ref="L404:L405"/>
    <mergeCell ref="A406:A407"/>
    <mergeCell ref="B406:B407"/>
    <mergeCell ref="C406:C407"/>
    <mergeCell ref="D406:D407"/>
    <mergeCell ref="E406:E407"/>
    <mergeCell ref="F406:F407"/>
    <mergeCell ref="L406:L407"/>
    <mergeCell ref="A404:A405"/>
    <mergeCell ref="B404:B405"/>
    <mergeCell ref="D392:D393"/>
    <mergeCell ref="E392:E393"/>
    <mergeCell ref="F392:F393"/>
    <mergeCell ref="L392:L393"/>
    <mergeCell ref="A400:A401"/>
    <mergeCell ref="B400:B401"/>
    <mergeCell ref="C400:C401"/>
    <mergeCell ref="D400:D401"/>
    <mergeCell ref="E400:E401"/>
    <mergeCell ref="F400:F401"/>
    <mergeCell ref="L400:L401"/>
    <mergeCell ref="A398:A399"/>
    <mergeCell ref="B398:B399"/>
    <mergeCell ref="C398:C399"/>
    <mergeCell ref="D398:D399"/>
    <mergeCell ref="E398:E399"/>
    <mergeCell ref="F398:F399"/>
    <mergeCell ref="L398:L399"/>
    <mergeCell ref="A394:A395"/>
    <mergeCell ref="B394:B395"/>
    <mergeCell ref="C394:C395"/>
    <mergeCell ref="D394:D395"/>
    <mergeCell ref="E394:E395"/>
    <mergeCell ref="F394:F395"/>
    <mergeCell ref="A386:A387"/>
    <mergeCell ref="B386:B387"/>
    <mergeCell ref="C386:C387"/>
    <mergeCell ref="D386:D387"/>
    <mergeCell ref="E386:E387"/>
    <mergeCell ref="F386:F387"/>
    <mergeCell ref="L386:L387"/>
    <mergeCell ref="A384:A385"/>
    <mergeCell ref="B384:B385"/>
    <mergeCell ref="C384:C385"/>
    <mergeCell ref="D384:D385"/>
    <mergeCell ref="E384:E385"/>
    <mergeCell ref="F384:F385"/>
    <mergeCell ref="L384:L385"/>
    <mergeCell ref="A380:A381"/>
    <mergeCell ref="B380:B381"/>
    <mergeCell ref="C380:C381"/>
    <mergeCell ref="D380:D381"/>
    <mergeCell ref="E380:E381"/>
    <mergeCell ref="F380:F381"/>
    <mergeCell ref="L380:L381"/>
    <mergeCell ref="A382:A383"/>
    <mergeCell ref="B382:B383"/>
    <mergeCell ref="C382:C383"/>
    <mergeCell ref="D382:D383"/>
    <mergeCell ref="E382:E383"/>
    <mergeCell ref="F382:F383"/>
    <mergeCell ref="L382:L383"/>
    <mergeCell ref="L394:L395"/>
    <mergeCell ref="A396:A397"/>
    <mergeCell ref="B396:B397"/>
    <mergeCell ref="C396:C397"/>
    <mergeCell ref="D396:D397"/>
    <mergeCell ref="E396:E397"/>
    <mergeCell ref="F396:F397"/>
    <mergeCell ref="L396:L397"/>
    <mergeCell ref="A402:A403"/>
    <mergeCell ref="B402:B403"/>
    <mergeCell ref="C402:C403"/>
    <mergeCell ref="D402:D403"/>
    <mergeCell ref="E402:E403"/>
    <mergeCell ref="F402:F403"/>
    <mergeCell ref="L402:L403"/>
    <mergeCell ref="D432:D433"/>
    <mergeCell ref="E432:E433"/>
    <mergeCell ref="F432:F433"/>
    <mergeCell ref="L432:L433"/>
    <mergeCell ref="A428:A429"/>
    <mergeCell ref="B428:B429"/>
    <mergeCell ref="C428:C429"/>
    <mergeCell ref="D428:D429"/>
    <mergeCell ref="E428:E429"/>
    <mergeCell ref="F428:F429"/>
    <mergeCell ref="L428:L429"/>
    <mergeCell ref="A418:A419"/>
    <mergeCell ref="B418:B419"/>
    <mergeCell ref="C418:C419"/>
    <mergeCell ref="D418:D419"/>
    <mergeCell ref="E418:E419"/>
    <mergeCell ref="F418:F419"/>
    <mergeCell ref="L418:L419"/>
    <mergeCell ref="A422:A423"/>
    <mergeCell ref="B422:B423"/>
    <mergeCell ref="C422:C423"/>
    <mergeCell ref="D422:D423"/>
    <mergeCell ref="E422:E423"/>
    <mergeCell ref="F422:F423"/>
    <mergeCell ref="L422:L423"/>
    <mergeCell ref="A412:A413"/>
    <mergeCell ref="B412:B413"/>
    <mergeCell ref="C412:C413"/>
    <mergeCell ref="D412:D413"/>
    <mergeCell ref="E412:E413"/>
    <mergeCell ref="F412:F413"/>
    <mergeCell ref="L412:L413"/>
    <mergeCell ref="A414:A415"/>
    <mergeCell ref="B414:B415"/>
    <mergeCell ref="C414:C415"/>
    <mergeCell ref="D414:D415"/>
    <mergeCell ref="E414:E415"/>
    <mergeCell ref="F414:F415"/>
    <mergeCell ref="L414:L415"/>
    <mergeCell ref="A388:A389"/>
    <mergeCell ref="B388:B389"/>
    <mergeCell ref="C388:C389"/>
    <mergeCell ref="D388:D389"/>
    <mergeCell ref="E388:E389"/>
    <mergeCell ref="F388:F389"/>
    <mergeCell ref="L388:L389"/>
    <mergeCell ref="A410:A411"/>
    <mergeCell ref="B410:B411"/>
    <mergeCell ref="C410:C411"/>
    <mergeCell ref="D410:D411"/>
    <mergeCell ref="E410:E411"/>
    <mergeCell ref="F410:F411"/>
    <mergeCell ref="L410:L411"/>
    <mergeCell ref="A390:A391"/>
    <mergeCell ref="B390:B391"/>
    <mergeCell ref="C390:C391"/>
    <mergeCell ref="D390:D391"/>
    <mergeCell ref="E390:E391"/>
    <mergeCell ref="F390:F391"/>
    <mergeCell ref="L390:L391"/>
    <mergeCell ref="A392:A393"/>
    <mergeCell ref="B392:B393"/>
    <mergeCell ref="C392:C393"/>
    <mergeCell ref="A375:L375"/>
    <mergeCell ref="A376:A377"/>
    <mergeCell ref="B376:B377"/>
    <mergeCell ref="C376:C377"/>
    <mergeCell ref="D376:D377"/>
    <mergeCell ref="E376:E377"/>
    <mergeCell ref="F376:F377"/>
    <mergeCell ref="L376:L377"/>
    <mergeCell ref="A378:A379"/>
    <mergeCell ref="B378:B379"/>
    <mergeCell ref="C378:C379"/>
    <mergeCell ref="D378:D379"/>
    <mergeCell ref="E378:E379"/>
    <mergeCell ref="F378:F379"/>
    <mergeCell ref="L378:L379"/>
    <mergeCell ref="A362:A363"/>
    <mergeCell ref="B362:B363"/>
    <mergeCell ref="C362:C363"/>
    <mergeCell ref="D362:D363"/>
    <mergeCell ref="E362:E363"/>
    <mergeCell ref="F362:F363"/>
    <mergeCell ref="L362:L363"/>
    <mergeCell ref="A364:A365"/>
    <mergeCell ref="B364:B365"/>
    <mergeCell ref="C364:C365"/>
    <mergeCell ref="D364:D365"/>
    <mergeCell ref="E364:E365"/>
    <mergeCell ref="F364:F365"/>
    <mergeCell ref="L364:L365"/>
    <mergeCell ref="A338:A339"/>
    <mergeCell ref="B338:B339"/>
    <mergeCell ref="C338:C339"/>
    <mergeCell ref="D338:D339"/>
    <mergeCell ref="E338:E339"/>
    <mergeCell ref="F338:F339"/>
    <mergeCell ref="L338:L339"/>
    <mergeCell ref="A336:A337"/>
    <mergeCell ref="B336:B337"/>
    <mergeCell ref="C336:C337"/>
    <mergeCell ref="D336:D337"/>
    <mergeCell ref="E336:E337"/>
    <mergeCell ref="F336:F337"/>
    <mergeCell ref="L336:L337"/>
    <mergeCell ref="A318:A319"/>
    <mergeCell ref="B318:B319"/>
    <mergeCell ref="C318:C319"/>
    <mergeCell ref="D318:D319"/>
    <mergeCell ref="E318:E319"/>
    <mergeCell ref="F318:F319"/>
    <mergeCell ref="L318:L319"/>
    <mergeCell ref="A329:A330"/>
    <mergeCell ref="B329:B330"/>
    <mergeCell ref="C329:C330"/>
    <mergeCell ref="D329:D330"/>
    <mergeCell ref="E329:E330"/>
    <mergeCell ref="F329:F330"/>
    <mergeCell ref="L329:L330"/>
    <mergeCell ref="L325:L326"/>
    <mergeCell ref="A327:A328"/>
    <mergeCell ref="B327:B328"/>
    <mergeCell ref="C327:C328"/>
    <mergeCell ref="D327:D328"/>
    <mergeCell ref="E327:E328"/>
    <mergeCell ref="F327:F328"/>
    <mergeCell ref="L327:L328"/>
    <mergeCell ref="A309:A310"/>
    <mergeCell ref="B309:B310"/>
    <mergeCell ref="C309:C310"/>
    <mergeCell ref="D309:D310"/>
    <mergeCell ref="E309:E310"/>
    <mergeCell ref="F309:F310"/>
    <mergeCell ref="L309:L310"/>
    <mergeCell ref="A316:A317"/>
    <mergeCell ref="B316:B317"/>
    <mergeCell ref="C316:C317"/>
    <mergeCell ref="D316:D317"/>
    <mergeCell ref="E316:E317"/>
    <mergeCell ref="F316:F317"/>
    <mergeCell ref="L316:L317"/>
    <mergeCell ref="A313:A315"/>
    <mergeCell ref="B313:B315"/>
    <mergeCell ref="C313:C315"/>
    <mergeCell ref="D313:D315"/>
    <mergeCell ref="E313:E315"/>
    <mergeCell ref="F313:F315"/>
    <mergeCell ref="L313:L315"/>
    <mergeCell ref="C301:C303"/>
    <mergeCell ref="D301:D303"/>
    <mergeCell ref="E301:E303"/>
    <mergeCell ref="F301:F303"/>
    <mergeCell ref="L301:L303"/>
    <mergeCell ref="A307:A308"/>
    <mergeCell ref="B307:B308"/>
    <mergeCell ref="C307:C308"/>
    <mergeCell ref="D307:D308"/>
    <mergeCell ref="E307:E308"/>
    <mergeCell ref="F307:F308"/>
    <mergeCell ref="L307:L308"/>
    <mergeCell ref="A234:A236"/>
    <mergeCell ref="B234:B236"/>
    <mergeCell ref="C234:C236"/>
    <mergeCell ref="D234:D236"/>
    <mergeCell ref="E234:E236"/>
    <mergeCell ref="F234:F236"/>
    <mergeCell ref="L234:L236"/>
    <mergeCell ref="A229:A230"/>
    <mergeCell ref="B229:B230"/>
    <mergeCell ref="C229:C230"/>
    <mergeCell ref="D229:D230"/>
    <mergeCell ref="E229:E230"/>
    <mergeCell ref="F229:F230"/>
    <mergeCell ref="L229:L230"/>
    <mergeCell ref="A231:A233"/>
    <mergeCell ref="B231:B233"/>
    <mergeCell ref="C231:C233"/>
    <mergeCell ref="D231:D233"/>
    <mergeCell ref="E231:E233"/>
    <mergeCell ref="F231:F233"/>
    <mergeCell ref="L231:L233"/>
    <mergeCell ref="A224:A226"/>
    <mergeCell ref="B224:B226"/>
    <mergeCell ref="C224:C226"/>
    <mergeCell ref="D224:D226"/>
    <mergeCell ref="E224:E226"/>
    <mergeCell ref="F224:F226"/>
    <mergeCell ref="L224:L226"/>
    <mergeCell ref="A227:A228"/>
    <mergeCell ref="B227:B228"/>
    <mergeCell ref="C227:C228"/>
    <mergeCell ref="D227:D228"/>
    <mergeCell ref="E227:E228"/>
    <mergeCell ref="F227:F228"/>
    <mergeCell ref="L227:L228"/>
    <mergeCell ref="A209:A211"/>
    <mergeCell ref="B209:B211"/>
    <mergeCell ref="C209:C211"/>
    <mergeCell ref="D209:D211"/>
    <mergeCell ref="E209:E211"/>
    <mergeCell ref="F209:F211"/>
    <mergeCell ref="L209:L211"/>
    <mergeCell ref="L204:L205"/>
    <mergeCell ref="A221:A223"/>
    <mergeCell ref="B221:B223"/>
    <mergeCell ref="C221:C223"/>
    <mergeCell ref="D221:D223"/>
    <mergeCell ref="E221:E223"/>
    <mergeCell ref="F221:F223"/>
    <mergeCell ref="L221:L223"/>
    <mergeCell ref="F215:F217"/>
    <mergeCell ref="L215:L217"/>
    <mergeCell ref="A218:A220"/>
    <mergeCell ref="B218:B220"/>
    <mergeCell ref="C218:C220"/>
    <mergeCell ref="D218:D220"/>
    <mergeCell ref="E218:E220"/>
    <mergeCell ref="F218:F220"/>
    <mergeCell ref="L218:L220"/>
    <mergeCell ref="B172:B173"/>
    <mergeCell ref="D172:D173"/>
    <mergeCell ref="E172:E173"/>
    <mergeCell ref="F172:F173"/>
    <mergeCell ref="L172:L173"/>
    <mergeCell ref="A176:A177"/>
    <mergeCell ref="B176:B177"/>
    <mergeCell ref="C176:C177"/>
    <mergeCell ref="D176:D177"/>
    <mergeCell ref="E176:E177"/>
    <mergeCell ref="F176:F177"/>
    <mergeCell ref="L176:L177"/>
    <mergeCell ref="A149:A150"/>
    <mergeCell ref="B149:B150"/>
    <mergeCell ref="L158:L161"/>
    <mergeCell ref="A179:A181"/>
    <mergeCell ref="B179:B181"/>
    <mergeCell ref="C179:C181"/>
    <mergeCell ref="D179:D181"/>
    <mergeCell ref="E179:E181"/>
    <mergeCell ref="F179:F181"/>
    <mergeCell ref="L179:L181"/>
    <mergeCell ref="A169:A171"/>
    <mergeCell ref="B169:B171"/>
    <mergeCell ref="C169:C171"/>
    <mergeCell ref="D169:D171"/>
    <mergeCell ref="E169:E171"/>
    <mergeCell ref="F169:F171"/>
    <mergeCell ref="L169:L171"/>
    <mergeCell ref="A174:A175"/>
    <mergeCell ref="B174:B175"/>
    <mergeCell ref="C174:C175"/>
    <mergeCell ref="D174:D175"/>
    <mergeCell ref="E174:E175"/>
    <mergeCell ref="F174:F175"/>
    <mergeCell ref="L174:L175"/>
    <mergeCell ref="L106:L107"/>
    <mergeCell ref="B101:B102"/>
    <mergeCell ref="C101:C102"/>
    <mergeCell ref="D101:D102"/>
    <mergeCell ref="E101:E102"/>
    <mergeCell ref="L162:L165"/>
    <mergeCell ref="A141:A142"/>
    <mergeCell ref="B141:B142"/>
    <mergeCell ref="C141:C142"/>
    <mergeCell ref="D141:D142"/>
    <mergeCell ref="E141:E142"/>
    <mergeCell ref="F141:F142"/>
    <mergeCell ref="L141:L142"/>
    <mergeCell ref="A143:A144"/>
    <mergeCell ref="B143:B144"/>
    <mergeCell ref="C143:C144"/>
    <mergeCell ref="D143:D144"/>
    <mergeCell ref="E143:E144"/>
    <mergeCell ref="F143:F144"/>
    <mergeCell ref="L143:L144"/>
    <mergeCell ref="A145:A146"/>
    <mergeCell ref="B145:B146"/>
    <mergeCell ref="C145:C146"/>
    <mergeCell ref="D145:D146"/>
    <mergeCell ref="E242:E244"/>
    <mergeCell ref="F242:F244"/>
    <mergeCell ref="E215:E217"/>
    <mergeCell ref="A101:A102"/>
    <mergeCell ref="A245:A246"/>
    <mergeCell ref="L101:L102"/>
    <mergeCell ref="A66:A76"/>
    <mergeCell ref="B66:B76"/>
    <mergeCell ref="C66:C76"/>
    <mergeCell ref="D66:D76"/>
    <mergeCell ref="E66:E76"/>
    <mergeCell ref="F66:F76"/>
    <mergeCell ref="L66:L76"/>
    <mergeCell ref="A111:A115"/>
    <mergeCell ref="B111:B115"/>
    <mergeCell ref="C111:C115"/>
    <mergeCell ref="D111:D115"/>
    <mergeCell ref="E111:E115"/>
    <mergeCell ref="F111:F115"/>
    <mergeCell ref="L111:L115"/>
    <mergeCell ref="D103:D105"/>
    <mergeCell ref="E103:E105"/>
    <mergeCell ref="F103:F105"/>
    <mergeCell ref="L103:L105"/>
    <mergeCell ref="A135:A136"/>
    <mergeCell ref="B151:B152"/>
    <mergeCell ref="A151:A152"/>
    <mergeCell ref="C151:C152"/>
    <mergeCell ref="L151:L152"/>
    <mergeCell ref="A18:L18"/>
    <mergeCell ref="L182:L184"/>
    <mergeCell ref="L245:L246"/>
    <mergeCell ref="A88:A100"/>
    <mergeCell ref="B88:B100"/>
    <mergeCell ref="C88:C100"/>
    <mergeCell ref="D88:D100"/>
    <mergeCell ref="E88:E100"/>
    <mergeCell ref="F88:F100"/>
    <mergeCell ref="L88:L100"/>
    <mergeCell ref="E240:E241"/>
    <mergeCell ref="F240:F241"/>
    <mergeCell ref="D240:D241"/>
    <mergeCell ref="L242:L244"/>
    <mergeCell ref="L240:L241"/>
    <mergeCell ref="B242:B244"/>
    <mergeCell ref="A242:A244"/>
    <mergeCell ref="C242:C244"/>
    <mergeCell ref="D242:D244"/>
    <mergeCell ref="B245:B246"/>
    <mergeCell ref="C245:C246"/>
    <mergeCell ref="D245:D246"/>
    <mergeCell ref="E245:E246"/>
    <mergeCell ref="F245:F246"/>
    <mergeCell ref="F332:F333"/>
    <mergeCell ref="E334:E335"/>
    <mergeCell ref="F334:F335"/>
    <mergeCell ref="B332:B333"/>
    <mergeCell ref="C332:C333"/>
    <mergeCell ref="A250:L250"/>
    <mergeCell ref="A324:L324"/>
    <mergeCell ref="A251:A253"/>
    <mergeCell ref="F254:F266"/>
    <mergeCell ref="L254:L266"/>
    <mergeCell ref="A267:A281"/>
    <mergeCell ref="B267:B281"/>
    <mergeCell ref="C267:C281"/>
    <mergeCell ref="D267:D281"/>
    <mergeCell ref="E267:E281"/>
    <mergeCell ref="F267:F281"/>
    <mergeCell ref="B251:B253"/>
    <mergeCell ref="A254:A266"/>
    <mergeCell ref="B254:B266"/>
    <mergeCell ref="A162:A165"/>
    <mergeCell ref="B162:B165"/>
    <mergeCell ref="C162:C165"/>
    <mergeCell ref="D162:D165"/>
    <mergeCell ref="A188:K188"/>
    <mergeCell ref="A240:A241"/>
    <mergeCell ref="B240:B241"/>
    <mergeCell ref="C240:C241"/>
    <mergeCell ref="C204:C205"/>
    <mergeCell ref="D204:D205"/>
    <mergeCell ref="E204:E205"/>
    <mergeCell ref="A199:A203"/>
    <mergeCell ref="B199:B203"/>
    <mergeCell ref="C199:C203"/>
    <mergeCell ref="D199:D203"/>
    <mergeCell ref="E199:E203"/>
    <mergeCell ref="F199:F203"/>
    <mergeCell ref="C172:C173"/>
    <mergeCell ref="F204:F205"/>
    <mergeCell ref="A212:A214"/>
    <mergeCell ref="B212:B214"/>
    <mergeCell ref="A204:A205"/>
    <mergeCell ref="A182:A184"/>
    <mergeCell ref="A172:A173"/>
    <mergeCell ref="B182:B184"/>
    <mergeCell ref="C182:C184"/>
    <mergeCell ref="D182:D184"/>
    <mergeCell ref="E182:E184"/>
    <mergeCell ref="F182:F184"/>
    <mergeCell ref="B204:B205"/>
    <mergeCell ref="L199:L203"/>
    <mergeCell ref="A195:A198"/>
    <mergeCell ref="B195:B198"/>
    <mergeCell ref="C195:C198"/>
    <mergeCell ref="D195:D198"/>
    <mergeCell ref="E195:E198"/>
    <mergeCell ref="F195:F198"/>
    <mergeCell ref="L195:L198"/>
    <mergeCell ref="A192:A193"/>
    <mergeCell ref="B192:B193"/>
    <mergeCell ref="C192:C193"/>
    <mergeCell ref="D192:D193"/>
    <mergeCell ref="E192:E193"/>
    <mergeCell ref="F192:F193"/>
    <mergeCell ref="L192:L193"/>
    <mergeCell ref="C212:C214"/>
    <mergeCell ref="D212:D214"/>
    <mergeCell ref="E212:E214"/>
    <mergeCell ref="F212:F214"/>
    <mergeCell ref="L212:L214"/>
    <mergeCell ref="A215:A217"/>
    <mergeCell ref="B215:B217"/>
    <mergeCell ref="C215:C217"/>
    <mergeCell ref="D215:D217"/>
    <mergeCell ref="A459:L459"/>
    <mergeCell ref="L251:L253"/>
    <mergeCell ref="B282:B294"/>
    <mergeCell ref="C282:C294"/>
    <mergeCell ref="D282:D294"/>
    <mergeCell ref="E282:E294"/>
    <mergeCell ref="F282:F294"/>
    <mergeCell ref="L282:L294"/>
    <mergeCell ref="A282:A294"/>
    <mergeCell ref="A334:A335"/>
    <mergeCell ref="B334:B335"/>
    <mergeCell ref="C334:C335"/>
    <mergeCell ref="D334:D335"/>
    <mergeCell ref="L334:L335"/>
    <mergeCell ref="L332:L333"/>
    <mergeCell ref="A325:A326"/>
    <mergeCell ref="B325:B326"/>
    <mergeCell ref="C325:C326"/>
    <mergeCell ref="D325:D326"/>
    <mergeCell ref="E325:E326"/>
    <mergeCell ref="F325:F326"/>
    <mergeCell ref="A332:A333"/>
    <mergeCell ref="D332:D333"/>
    <mergeCell ref="E332:E333"/>
    <mergeCell ref="L267:L281"/>
    <mergeCell ref="C254:C266"/>
    <mergeCell ref="D254:D266"/>
    <mergeCell ref="E254:E266"/>
    <mergeCell ref="C251:C253"/>
    <mergeCell ref="D251:D253"/>
    <mergeCell ref="E251:E253"/>
    <mergeCell ref="F251:F253"/>
    <mergeCell ref="A304:A305"/>
    <mergeCell ref="B304:B305"/>
    <mergeCell ref="C304:C305"/>
    <mergeCell ref="D304:D305"/>
    <mergeCell ref="E304:E305"/>
    <mergeCell ref="F304:F305"/>
    <mergeCell ref="L304:L305"/>
    <mergeCell ref="A299:A300"/>
    <mergeCell ref="B299:B300"/>
    <mergeCell ref="C299:C300"/>
    <mergeCell ref="D299:D300"/>
    <mergeCell ref="E299:E300"/>
    <mergeCell ref="F299:F300"/>
    <mergeCell ref="L299:L300"/>
    <mergeCell ref="A301:A303"/>
    <mergeCell ref="B301:B303"/>
    <mergeCell ref="D77:D87"/>
    <mergeCell ref="E77:E87"/>
    <mergeCell ref="F77:F87"/>
    <mergeCell ref="A77:A87"/>
    <mergeCell ref="A103:A105"/>
    <mergeCell ref="B103:B105"/>
    <mergeCell ref="C103:C105"/>
    <mergeCell ref="L154:L157"/>
    <mergeCell ref="A1:L1"/>
    <mergeCell ref="A2:L2"/>
    <mergeCell ref="G12:K12"/>
    <mergeCell ref="D13:D14"/>
    <mergeCell ref="I13:I14"/>
    <mergeCell ref="L12:L14"/>
    <mergeCell ref="J13:K13"/>
    <mergeCell ref="H13:H14"/>
    <mergeCell ref="E13:F13"/>
    <mergeCell ref="A12:A14"/>
    <mergeCell ref="C13:C14"/>
    <mergeCell ref="B12:B14"/>
    <mergeCell ref="C12:F12"/>
    <mergeCell ref="G13:G14"/>
    <mergeCell ref="F101:F102"/>
    <mergeCell ref="A132:A134"/>
    <mergeCell ref="B106:B107"/>
    <mergeCell ref="C106:C107"/>
    <mergeCell ref="D106:D107"/>
    <mergeCell ref="E106:E107"/>
    <mergeCell ref="F106:F107"/>
    <mergeCell ref="E154:E157"/>
    <mergeCell ref="F154:F157"/>
    <mergeCell ref="C149:C150"/>
    <mergeCell ref="D149:D150"/>
    <mergeCell ref="E149:E150"/>
    <mergeCell ref="F149:F150"/>
    <mergeCell ref="D151:D152"/>
    <mergeCell ref="E151:E152"/>
    <mergeCell ref="F151:F152"/>
    <mergeCell ref="B130:B131"/>
    <mergeCell ref="C130:C131"/>
    <mergeCell ref="D130:D131"/>
    <mergeCell ref="E130:E131"/>
    <mergeCell ref="C137:C139"/>
    <mergeCell ref="D137:D139"/>
    <mergeCell ref="E137:E139"/>
    <mergeCell ref="F137:F139"/>
    <mergeCell ref="B137:B139"/>
    <mergeCell ref="B132:B134"/>
    <mergeCell ref="B135:B136"/>
    <mergeCell ref="L130:L131"/>
    <mergeCell ref="D135:D136"/>
    <mergeCell ref="E135:E136"/>
    <mergeCell ref="F135:F136"/>
    <mergeCell ref="L135:L136"/>
    <mergeCell ref="C135:C136"/>
    <mergeCell ref="L149:L150"/>
    <mergeCell ref="B147:B148"/>
    <mergeCell ref="C147:C148"/>
    <mergeCell ref="D147:D148"/>
    <mergeCell ref="E147:E148"/>
    <mergeCell ref="F147:F148"/>
    <mergeCell ref="L147:L148"/>
    <mergeCell ref="L137:L139"/>
    <mergeCell ref="C132:C134"/>
    <mergeCell ref="D132:D134"/>
    <mergeCell ref="E132:E134"/>
    <mergeCell ref="F132:F134"/>
    <mergeCell ref="L132:L134"/>
    <mergeCell ref="E145:E146"/>
    <mergeCell ref="F145:F146"/>
    <mergeCell ref="L145:L146"/>
    <mergeCell ref="G470:J470"/>
    <mergeCell ref="A130:A131"/>
    <mergeCell ref="A106:A107"/>
    <mergeCell ref="A154:A157"/>
    <mergeCell ref="B154:B157"/>
    <mergeCell ref="C154:C157"/>
    <mergeCell ref="D154:D157"/>
    <mergeCell ref="F130:F131"/>
    <mergeCell ref="G187:J187"/>
    <mergeCell ref="E162:E165"/>
    <mergeCell ref="F162:F165"/>
    <mergeCell ref="A147:A148"/>
    <mergeCell ref="A158:A161"/>
    <mergeCell ref="B158:B161"/>
    <mergeCell ref="C158:C161"/>
    <mergeCell ref="D158:D161"/>
    <mergeCell ref="E158:E161"/>
    <mergeCell ref="F158:F161"/>
    <mergeCell ref="A167:A168"/>
    <mergeCell ref="B167:B168"/>
    <mergeCell ref="C167:C168"/>
    <mergeCell ref="D167:D168"/>
    <mergeCell ref="E167:E168"/>
    <mergeCell ref="F167:F168"/>
    <mergeCell ref="G372:J372"/>
    <mergeCell ref="G321:J321"/>
    <mergeCell ref="G247:J247"/>
    <mergeCell ref="G51:J51"/>
    <mergeCell ref="G467:K467"/>
    <mergeCell ref="G457:K457"/>
    <mergeCell ref="G373:K373"/>
    <mergeCell ref="G322:K322"/>
    <mergeCell ref="G248:K248"/>
    <mergeCell ref="G52:K52"/>
    <mergeCell ref="A54:L54"/>
    <mergeCell ref="A189:L189"/>
    <mergeCell ref="A187:E187"/>
    <mergeCell ref="B55:B65"/>
    <mergeCell ref="C55:C65"/>
    <mergeCell ref="D55:D65"/>
    <mergeCell ref="E55:E65"/>
    <mergeCell ref="F55:F65"/>
    <mergeCell ref="A55:A65"/>
    <mergeCell ref="L55:L65"/>
    <mergeCell ref="L77:L87"/>
    <mergeCell ref="B77:B87"/>
    <mergeCell ref="C77:C87"/>
    <mergeCell ref="A137:A139"/>
    <mergeCell ref="A472:K472"/>
    <mergeCell ref="A473:F473"/>
    <mergeCell ref="A474:F474"/>
    <mergeCell ref="A476:F476"/>
    <mergeCell ref="A478:F478"/>
    <mergeCell ref="A481:B481"/>
    <mergeCell ref="C481:F481"/>
    <mergeCell ref="A3:F3"/>
    <mergeCell ref="A4:F4"/>
    <mergeCell ref="A5:F5"/>
    <mergeCell ref="A7:B7"/>
    <mergeCell ref="A8:B8"/>
    <mergeCell ref="A9:B9"/>
    <mergeCell ref="A16:L16"/>
    <mergeCell ref="A51:E51"/>
    <mergeCell ref="A247:E247"/>
    <mergeCell ref="A321:E321"/>
    <mergeCell ref="A372:E372"/>
    <mergeCell ref="A456:E456"/>
    <mergeCell ref="A466:E466"/>
    <mergeCell ref="C457:E457"/>
    <mergeCell ref="A470:E470"/>
    <mergeCell ref="G466:J466"/>
    <mergeCell ref="G456:J456"/>
  </mergeCells>
  <phoneticPr fontId="1" type="noConversion"/>
  <dataValidations count="9">
    <dataValidation type="list" allowBlank="1" showInputMessage="1" showErrorMessage="1" sqref="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42">
      <formula1>Установка_распаечной_коробки</formula1>
    </dataValidation>
    <dataValidation type="list" allowBlank="1" showInputMessage="1" showErrorMessage="1" sqref="SZ344:SZ345 ACV344:ACV345 AMR344:AMR345 AWN344:AWN345 BGJ344:BGJ345 BQF344:BQF345 CAB344:CAB345 CJX344:CJX345 CTT344:CTT345 DDP344:DDP345 DNL344:DNL345 DXH344:DXH345 EHD344:EHD345 EQZ344:EQZ345 FAV344:FAV345 FKR344:FKR345 FUN344:FUN345 GEJ344:GEJ345 GOF344:GOF345 GYB344:GYB345 HHX344:HHX345 HRT344:HRT345 IBP344:IBP345 ILL344:ILL345 IVH344:IVH345 JFD344:JFD345 JOZ344:JOZ345 JYV344:JYV345 KIR344:KIR345 KSN344:KSN345 LCJ344:LCJ345 LMF344:LMF345 LWB344:LWB345 MFX344:MFX345 MPT344:MPT345 MZP344:MZP345 NJL344:NJL345 NTH344:NTH345 ODD344:ODD345 OMZ344:OMZ345 OWV344:OWV345 PGR344:PGR345 PQN344:PQN345 QAJ344:QAJ345 QKF344:QKF345 QUB344:QUB345 RDX344:RDX345 RNT344:RNT345 RXP344:RXP345 SHL344:SHL345 SRH344:SRH345 TBD344:TBD345 TKZ344:TKZ345 TUV344:TUV345 UER344:UER345 UON344:UON345 UYJ344:UYJ345 VIF344:VIF345 VSB344:VSB345 WBX344:WBX345 WLT344:WLT345 WVP344:WVP345 G344:G345 JD344:JD345">
      <formula1>Установка_розеток</formula1>
    </dataValidation>
    <dataValidation type="list" allowBlank="1" showInputMessage="1" showErrorMessage="1" sqref="JD343 SZ343 ACV343 AMR343 AWN343 BGJ343 BQF343 CAB343 CJX343 CTT343 DDP343 DNL343 DXH343 EHD343 EQZ343 FAV343 FKR343 FUN343 GEJ343 GOF343 GYB343 HHX343 HRT343 IBP343 ILL343 IVH343 JFD343 JOZ343 JYV343 KIR343 KSN343 LCJ343 LMF343 LWB343 MFX343 MPT343 MZP343 NJL343 NTH343 ODD343 OMZ343 OWV343 PGR343 PQN343 QAJ343 QKF343 QUB343 RDX343 RNT343 RXP343 SHL343 SRH343 TBD343 TKZ343 TUV343 UER343 UON343 UYJ343 VIF343 VSB343 WBX343 WLT343 WVP343 G343">
      <formula1>Монтаж_уставновочной_коробки</formula1>
    </dataValidation>
    <dataValidation type="list" allowBlank="1" showInputMessage="1" showErrorMessage="1" sqref="JD351:JD352 SZ351:SZ352 ACV351:ACV352 AMR351:AMR352 AWN351:AWN352 BGJ351:BGJ352 BQF351:BQF352 CAB351:CAB352 CJX351:CJX352 CTT351:CTT352 DDP351:DDP352 DNL351:DNL352 DXH351:DXH352 EHD351:EHD352 EQZ351:EQZ352 FAV351:FAV352 FKR351:FKR352 FUN351:FUN352 GEJ351:GEJ352 GOF351:GOF352 GYB351:GYB352 HHX351:HHX352 HRT351:HRT352 IBP351:IBP352 ILL351:ILL352 IVH351:IVH352 JFD351:JFD352 JOZ351:JOZ352 JYV351:JYV352 KIR351:KIR352 KSN351:KSN352 LCJ351:LCJ352 LMF351:LMF352 LWB351:LWB352 MFX351:MFX352 MPT351:MPT352 MZP351:MZP352 NJL351:NJL352 NTH351:NTH352 ODD351:ODD352 OMZ351:OMZ352 OWV351:OWV352 PGR351:PGR352 PQN351:PQN352 QAJ351:QAJ352 QKF351:QKF352 QUB351:QUB352 RDX351:RDX352 RNT351:RNT352 RXP351:RXP352 SHL351:SHL352 SRH351:SRH352 TBD351:TBD352 TKZ351:TKZ352 TUV351:TUV352 UER351:UER352 UON351:UON352 UYJ351:UYJ352 VIF351:VIF352 VSB351:VSB352 WBX351:WBX352 WLT351:WLT352 WVP351:WVP352 G351:G352">
      <formula1>Монтаж_электрощита</formula1>
    </dataValidation>
    <dataValidation type="list" allowBlank="1" showInputMessage="1" showErrorMessage="1" sqref="WLT359:WLT360 WBX359:WBX360 VSB359:VSB360 VIF359:VIF360 UYJ359:UYJ360 UON359:UON360 UER359:UER360 TUV359:TUV360 TKZ359:TKZ360 TBD359:TBD360 SRH359:SRH360 SHL359:SHL360 RXP359:RXP360 RNT359:RNT360 RDX359:RDX360 QUB359:QUB360 QKF359:QKF360 QAJ359:QAJ360 PQN359:PQN360 PGR359:PGR360 OWV359:OWV360 OMZ359:OMZ360 ODD359:ODD360 NTH359:NTH360 NJL359:NJL360 MZP359:MZP360 MPT359:MPT360 MFX359:MFX360 LWB359:LWB360 LMF359:LMF360 LCJ359:LCJ360 KSN359:KSN360 KIR359:KIR360 JYV359:JYV360 JOZ359:JOZ360 JFD359:JFD360 IVH359:IVH360 ILL359:ILL360 IBP359:IBP360 HRT359:HRT360 HHX359:HHX360 GYB359:GYB360 GOF359:GOF360 GEJ359:GEJ360 FUN359:FUN360 FKR359:FKR360 FAV359:FAV360 EQZ359:EQZ360 EHD359:EHD360 DXH359:DXH360 DNL359:DNL360 DDP359:DDP360 CTT359:CTT360 CJX359:CJX360 CAB359:CAB360 BQF359:BQF360 BGJ359:BGJ360 AWN359:AWN360 AMR359:AMR360 ACV359:ACV360 SZ359:SZ360 JD359:JD360 JD353:JD356 SZ353:SZ356 ACV353:ACV356 AMR353:AMR356 AWN353:AWN356 BGJ353:BGJ356 BQF353:BQF356 CAB353:CAB356 CJX353:CJX356 CTT353:CTT356 DDP353:DDP356 DNL353:DNL356 DXH353:DXH356 EHD353:EHD356 EQZ353:EQZ356 FAV353:FAV356 FKR353:FKR356 FUN353:FUN356 GEJ353:GEJ356 GOF353:GOF356 GYB353:GYB356 HHX353:HHX356 HRT353:HRT356 IBP353:IBP356 ILL353:ILL356 IVH353:IVH356 JFD353:JFD356 JOZ353:JOZ356 JYV353:JYV356 KIR353:KIR356 KSN353:KSN356 LCJ353:LCJ356 LMF353:LMF356 LWB353:LWB356 MFX353:MFX356 MPT353:MPT356 MZP353:MZP356 NJL353:NJL356 NTH353:NTH356 ODD353:ODD356 OMZ353:OMZ356 OWV353:OWV356 PGR353:PGR356 PQN353:PQN356 QAJ353:QAJ356 QKF353:QKF356 QUB353:QUB356 RDX353:RDX356 RNT353:RNT356 RXP353:RXP356 SHL353:SHL356 SRH353:SRH356 TBD353:TBD356 TKZ353:TKZ356 TUV353:TUV356 UER353:UER356 UON353:UON356 UYJ353:UYJ356 VIF353:VIF356 VSB353:VSB356 WBX353:WBX356 WLT353:WLT356 WVP353:WVP356 WVP359:WVP360 G353:G360">
      <formula1>Сборка_щита</formula1>
    </dataValidation>
    <dataValidation type="list" allowBlank="1" showInputMessage="1" showErrorMessage="1" sqref="WLT331 WVP325:WVP328 JD325:JD328 SZ325:SZ328 ACV325:ACV328 AMR325:AMR328 AWN325:AWN328 BGJ325:BGJ328 BQF325:BQF328 CAB325:CAB328 CJX325:CJX328 CTT325:CTT328 DDP325:DDP328 DNL325:DNL328 DXH325:DXH328 EHD325:EHD328 EQZ325:EQZ328 FAV325:FAV328 FKR325:FKR328 FUN325:FUN328 GEJ325:GEJ328 GOF325:GOF328 GYB325:GYB328 HHX325:HHX328 HRT325:HRT328 IBP325:IBP328 ILL325:ILL328 IVH325:IVH328 JFD325:JFD328 JOZ325:JOZ328 JYV325:JYV328 KIR325:KIR328 KSN325:KSN328 LCJ325:LCJ328 LMF325:LMF328 LWB325:LWB328 MFX325:MFX328 MPT325:MPT328 MZP325:MZP328 NJL325:NJL328 NTH325:NTH328 ODD325:ODD328 OMZ325:OMZ328 OWV325:OWV328 PGR325:PGR328 PQN325:PQN328 QAJ325:QAJ328 QKF325:QKF328 QUB325:QUB328 RDX325:RDX328 RNT325:RNT328 RXP325:RXP328 SHL325:SHL328 SRH325:SRH328 TBD325:TBD328 TKZ325:TKZ328 TUV325:TUV328 UER325:UER328 UON325:UON328 UYJ325:UYJ328 VIF325:VIF328 VSB325:VSB328 WBX325:WBX328 WLT325:WLT328 G325:G331 WVP331 JD331 SZ331 ACV331 AMR331 AWN331 BGJ331 BQF331 CAB331 CJX331 CTT331 DDP331 DNL331 DXH331 EHD331 EQZ331 FAV331 FKR331 FUN331 GEJ331 GOF331 GYB331 HHX331 HRT331 IBP331 ILL331 IVH331 JFD331 JOZ331 JYV331 KIR331 KSN331 LCJ331 LMF331 LWB331 MFX331 MPT331 MZP331 NJL331 NTH331 ODD331 OMZ331 OWV331 PGR331 PQN331 QAJ331 QKF331 QUB331 RDX331 RNT331 RXP331 SHL331 SRH331 TBD331 TKZ331 TUV331 UER331 UON331 UYJ331 VIF331 VSB331 WBX331 JD334:JD339 WVP334:WVP339 G334:G339 WLT334:WLT339 WBX334:WBX339 VSB334:VSB339 VIF334:VIF339 UYJ334:UYJ339 UON334:UON339 UER334:UER339 TUV334:TUV339 TKZ334:TKZ339 TBD334:TBD339 SRH334:SRH339 SHL334:SHL339 RXP334:RXP339 RNT334:RNT339 RDX334:RDX339 QUB334:QUB339 QKF334:QKF339 QAJ334:QAJ339 PQN334:PQN339 PGR334:PGR339 OWV334:OWV339 OMZ334:OMZ339 ODD334:ODD339 NTH334:NTH339 NJL334:NJL339 MZP334:MZP339 MPT334:MPT339 MFX334:MFX339 LWB334:LWB339 LMF334:LMF339 LCJ334:LCJ339 KSN334:KSN339 KIR334:KIR339 JYV334:JYV339 JOZ334:JOZ339 JFD334:JFD339 IVH334:IVH339 ILL334:ILL339 IBP334:IBP339 HRT334:HRT339 HHX334:HHX339 GYB334:GYB339 GOF334:GOF339 GEJ334:GEJ339 FUN334:FUN339 FKR334:FKR339 FAV334:FAV339 EQZ334:EQZ339 EHD334:EHD339 DXH334:DXH339 DNL334:DNL339 DDP334:DDP339 CTT334:CTT339 CJX334:CJX339 CAB334:CAB339 BQF334:BQF339 BGJ334:BGJ339 AWN334:AWN339 AMR334:AMR339 ACV334:ACV339 SZ334:SZ339 WVP402:WVP409 AMR376:AMR383 AWN376:AWN383 BGJ376:BGJ383 BQF376:BQF383 CAB376:CAB383 CJX376:CJX383 CTT376:CTT383 DDP376:DDP383 DNL376:DNL383 DXH376:DXH383 EHD376:EHD383 EQZ376:EQZ383 FAV376:FAV383 FKR376:FKR383 FUN376:FUN383 GEJ376:GEJ383 GOF376:GOF383 GYB376:GYB383 HHX376:HHX383 HRT376:HRT383 IBP376:IBP383 ILL376:ILL383 IVH376:IVH383 JFD376:JFD383 JOZ376:JOZ383 JYV376:JYV383 KIR376:KIR383 KSN376:KSN383 LCJ376:LCJ383 LMF376:LMF383 LWB376:LWB383 MFX376:MFX383 MPT376:MPT383 MZP376:MZP383 NJL376:NJL383 NTH376:NTH383 ODD376:ODD383 OMZ376:OMZ383 OWV376:OWV383 PGR376:PGR383 PQN376:PQN383 QAJ376:QAJ383 QKF376:QKF383 QUB376:QUB383 RDX376:RDX383 RNT376:RNT383 RXP376:RXP383 SHL376:SHL383 SRH376:SRH383 TBD376:TBD383 TKZ376:TKZ383 TUV376:TUV383 UER376:UER383 UON376:UON383 UYJ376:UYJ383 VIF376:VIF383 VSB376:VSB383 WBX376:WBX383 WLT376:WLT383 WVP376:WVP383 JD376:JD383 JD402:JD409 SZ402:SZ409 ACV402:ACV409 AMR402:AMR409 AWN402:AWN409 BGJ402:BGJ409 BQF402:BQF409 CAB402:CAB409 CJX402:CJX409 CTT402:CTT409 DDP402:DDP409 DNL402:DNL409 DXH402:DXH409 EHD402:EHD409 EQZ402:EQZ409 FAV402:FAV409 FKR402:FKR409 FUN402:FUN409 GEJ402:GEJ409 GOF402:GOF409 GYB402:GYB409 HHX402:HHX409 HRT402:HRT409 IBP402:IBP409 ILL402:ILL409 IVH402:IVH409 JFD402:JFD409 JOZ402:JOZ409 JYV402:JYV409 KIR402:KIR409 KSN402:KSN409 LCJ402:LCJ409 LMF402:LMF409 LWB402:LWB409 MFX402:MFX409 MPT402:MPT409 MZP402:MZP409 NJL402:NJL409 NTH402:NTH409 ODD402:ODD409 OMZ402:OMZ409 OWV402:OWV409 PGR402:PGR409 PQN402:PQN409 QAJ402:QAJ409 QKF402:QKF409 QUB402:QUB409 RDX402:RDX409 RNT402:RNT409 RXP402:RXP409 SHL402:SHL409 SRH402:SRH409 TBD402:TBD409 TKZ402:TKZ409 TUV402:TUV409 UER402:UER409 UON402:UON409 UYJ402:UYJ409 VIF402:VIF409 VSB402:VSB409 WBX402:WBX409 G404:G405 G408:G409 G418 SZ376:SZ383 ACV376:ACV383 G378:G401 WLT402:WLT409 G412 G414 G416 G420 G422 G424 G426 G432 G428 G438 G434 G436 G450 G430 G448 G452 G454 BGJ412:BGJ458 BQF412:BQF458 CAB412:CAB458 CJX412:CJX458 CTT412:CTT458 DDP412:DDP458 DNL412:DNL458 DXH412:DXH458 EHD412:EHD458 EQZ412:EQZ458 FAV412:FAV458 FKR412:FKR458 FUN412:FUN458 GEJ412:GEJ458 GOF412:GOF458 GYB412:GYB458 HHX412:HHX458 HRT412:HRT458 IBP412:IBP458 ILL412:ILL458 IVH412:IVH458 JFD412:JFD458 JOZ412:JOZ458 JYV412:JYV458 KIR412:KIR458 KSN412:KSN458 LCJ412:LCJ458 LMF412:LMF458 LWB412:LWB458 MFX412:MFX458 MPT412:MPT458 MZP412:MZP458 NJL412:NJL458 NTH412:NTH458 ODD412:ODD458 OMZ412:OMZ458 OWV412:OWV458 PGR412:PGR458 PQN412:PQN458 QAJ412:QAJ458 QKF412:QKF458 QUB412:QUB458 RDX412:RDX458 RNT412:RNT458 RXP412:RXP458 SHL412:SHL458 SRH412:SRH458 TBD412:TBD458 TKZ412:TKZ458 TUV412:TUV458 UER412:UER458 UON412:UON458 UYJ412:UYJ458 VIF412:VIF458 VSB412:VSB458 WBX412:WBX458 WLT412:WLT458 WVP412:WVP458 JD412:JD458 SZ412:SZ458 ACV412:ACV458 AMR412:AMR458 AWN412:AWN458 G442 G440 G444 G446">
      <formula1>Кабель</formula1>
    </dataValidation>
    <dataValidation type="list" allowBlank="1" showInputMessage="1" showErrorMessage="1" sqref="G340 JD340 SZ340 ACV340 AMR340 AWN340 BGJ340 BQF340 CAB340 CJX340 CTT340 DDP340 DNL340 DXH340 EHD340 EQZ340 FAV340 FKR340 FUN340 GEJ340 GOF340 GYB340 HHX340 HRT340 IBP340 ILL340 IVH340 JFD340 JOZ340 JYV340 KIR340 KSN340 LCJ340 LMF340 LWB340 MFX340 MPT340 MZP340 NJL340 NTH340 ODD340 OMZ340 OWV340 PGR340 PQN340 QAJ340 QKF340 QUB340 RDX340 RNT340 RXP340 SHL340 SRH340 TBD340 TKZ340 TUV340 UER340 UON340 UYJ340 VIF340 VSB340 WBX340 WLT340 WVP340">
      <formula1>прокладка_стального_лотка</formula1>
    </dataValidation>
    <dataValidation type="list" allowBlank="1" showInputMessage="1" showErrorMessage="1" sqref="JD361 SZ361 ACV361 AMR361 AWN361 BGJ361 BQF361 CAB361 CJX361 CTT361 DDP361 DNL361 DXH361 EHD361 EQZ361 FAV361 FKR361 FUN361 GEJ361 GOF361 GYB361 HHX361 HRT361 IBP361 ILL361 IVH361 JFD361 JOZ361 JYV361 KIR361 KSN361 LCJ361 LMF361 LWB361 MFX361 MPT361 MZP361 NJL361 NTH361 ODD361 OMZ361 OWV361 PGR361 PQN361 QAJ361 QKF361 QUB361 RDX361 RNT361 RXP361 SHL361 SRH361 TBD361 TKZ361 TUV361 UER361 UON361 UYJ361 VIF361 VSB361 WBX361 WLT361 WVP361 WLT366:WLT368 WBX366:WBX368 VSB366:VSB368 VIF366:VIF368 UYJ366:UYJ368 UON366:UON368 UER366:UER368 TUV366:TUV368 TKZ366:TKZ368 TBD366:TBD368 SRH366:SRH368 SHL366:SHL368 RXP366:RXP368 RNT366:RNT368 RDX366:RDX368 QUB366:QUB368 QKF366:QKF368 QAJ366:QAJ368 PQN366:PQN368 PGR366:PGR368 OWV366:OWV368 OMZ366:OMZ368 ODD366:ODD368 NTH366:NTH368 NJL366:NJL368 MZP366:MZP368 MPT366:MPT368 MFX366:MFX368 LWB366:LWB368 LMF366:LMF368 LCJ366:LCJ368 KSN366:KSN368 KIR366:KIR368 JYV366:JYV368 JOZ366:JOZ368 JFD366:JFD368 IVH366:IVH368 ILL366:ILL368 IBP366:IBP368 HRT366:HRT368 HHX366:HHX368 GYB366:GYB368 GOF366:GOF368 GEJ366:GEJ368 FUN366:FUN368 FKR366:FKR368 FAV366:FAV368 EQZ366:EQZ368 EHD366:EHD368 DXH366:DXH368 DNL366:DNL368 DDP366:DDP368 CTT366:CTT368 CJX366:CJX368 CAB366:CAB368 BQF366:BQF368 BGJ366:BGJ368 AWN366:AWN368 AMR366:AMR368 ACV366:ACV368 SZ366:SZ368 JD366:JD368 WVP366:WVP368 G361:G368">
      <formula1>Установка_и_подключение_светильников</formula1>
    </dataValidation>
    <dataValidation type="list" allowBlank="1" showInputMessage="1" showErrorMessage="1" sqref="JD346:JD350 G346:G350 WVP346:WVP350 WLT346:WLT350 WBX346:WBX350 VSB346:VSB350 VIF346:VIF350 UYJ346:UYJ350 UON346:UON350 UER346:UER350 TUV346:TUV350 TKZ346:TKZ350 TBD346:TBD350 SRH346:SRH350 SHL346:SHL350 RXP346:RXP350 RNT346:RNT350 RDX346:RDX350 QUB346:QUB350 QKF346:QKF350 QAJ346:QAJ350 PQN346:PQN350 PGR346:PGR350 OWV346:OWV350 OMZ346:OMZ350 ODD346:ODD350 NTH346:NTH350 NJL346:NJL350 MZP346:MZP350 MPT346:MPT350 MFX346:MFX350 LWB346:LWB350 LMF346:LMF350 LCJ346:LCJ350 KSN346:KSN350 KIR346:KIR350 JYV346:JYV350 JOZ346:JOZ350 JFD346:JFD350 IVH346:IVH350 ILL346:ILL350 IBP346:IBP350 HRT346:HRT350 HHX346:HHX350 GYB346:GYB350 GOF346:GOF350 GEJ346:GEJ350 FUN346:FUN350 FKR346:FKR350 FAV346:FAV350 EQZ346:EQZ350 EHD346:EHD350 DXH346:DXH350 DNL346:DNL350 DDP346:DDP350 CTT346:CTT350 CJX346:CJX350 CAB346:CAB350 BQF346:BQF350 BGJ346:BGJ350 AWN346:AWN350 AMR346:AMR350 ACV346:ACV350 SZ346:SZ350">
      <formula1>Установка_выключателя</formula1>
    </dataValidation>
  </dataValidations>
  <pageMargins left="0.25" right="0.25" top="0.75" bottom="0.75" header="0.3" footer="0.3"/>
  <pageSetup paperSize="9" orientation="landscape"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Marinsgroup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ZaicevaEM</dc:creator>
  <cp:lastModifiedBy>user</cp:lastModifiedBy>
  <cp:lastPrinted>2012-06-26T08:11:03Z</cp:lastPrinted>
  <dcterms:created xsi:type="dcterms:W3CDTF">2009-11-19T08:11:16Z</dcterms:created>
  <dcterms:modified xsi:type="dcterms:W3CDTF">2017-01-09T08:27:03Z</dcterms:modified>
</cp:coreProperties>
</file>